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AbUnB2024\CalcNut_2024\"/>
    </mc:Choice>
  </mc:AlternateContent>
  <xr:revisionPtr revIDLastSave="0" documentId="13_ncr:1_{8DDD17FB-7F17-4E77-8958-CD4CA751D848}" xr6:coauthVersionLast="47" xr6:coauthVersionMax="47" xr10:uidLastSave="{00000000-0000-0000-0000-000000000000}"/>
  <bookViews>
    <workbookView xWindow="-108" yWindow="-108" windowWidth="23256" windowHeight="12576" firstSheet="3" activeTab="5" xr2:uid="{00000000-000D-0000-FFFF-FFFF00000000}"/>
  </bookViews>
  <sheets>
    <sheet name="GEST" sheetId="1" r:id="rId1"/>
    <sheet name="Nutriz" sheetId="14" r:id="rId2"/>
    <sheet name="CRIAN-ADOL" sheetId="2" r:id="rId3"/>
    <sheet name="2024 NUTRIZ" sheetId="19" r:id="rId4"/>
    <sheet name="2023 GESTANTE" sheetId="18" r:id="rId5"/>
    <sheet name="2023 CRIANCA-ADULTO-IDOSO" sheetId="17" r:id="rId6"/>
    <sheet name="ADUL-IDO PN" sheetId="3" r:id="rId7"/>
    <sheet name="Pirâmide Adolescentes ativos" sheetId="15" r:id="rId8"/>
    <sheet name="Pirâmide Alimentar Brasileira" sheetId="5" r:id="rId9"/>
    <sheet name="Pirâmide Atletas" sheetId="16" r:id="rId10"/>
    <sheet name="Cerais, pães (porção)" sheetId="7" r:id="rId11"/>
    <sheet name="Hortaliças (porção)" sheetId="6" r:id="rId12"/>
    <sheet name="Frutas (porção)" sheetId="8" r:id="rId13"/>
    <sheet name="Carnes e Leguminosas (porção)" sheetId="9" r:id="rId14"/>
    <sheet name="Produtos Lácteos (porção)" sheetId="10" r:id="rId15"/>
    <sheet name="Óleos, gorduras e açúcares" sheetId="11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55" i="19" l="1"/>
  <c r="U41" i="19"/>
  <c r="U42" i="19"/>
  <c r="U43" i="19"/>
  <c r="U44" i="19"/>
  <c r="U45" i="19"/>
  <c r="U46" i="19"/>
  <c r="U47" i="19"/>
  <c r="U48" i="19"/>
  <c r="U49" i="19"/>
  <c r="U50" i="19"/>
  <c r="U51" i="19"/>
  <c r="U52" i="19"/>
  <c r="U53" i="19"/>
  <c r="U54" i="19"/>
  <c r="U40" i="19"/>
  <c r="B5" i="19"/>
  <c r="B6" i="19"/>
  <c r="B7" i="19"/>
  <c r="B8" i="19"/>
  <c r="B9" i="19"/>
  <c r="B10" i="19"/>
  <c r="B11" i="19"/>
  <c r="B12" i="19"/>
  <c r="B13" i="19"/>
  <c r="B14" i="19"/>
  <c r="B15" i="19"/>
  <c r="B16" i="19"/>
  <c r="B17" i="19"/>
  <c r="B18" i="19"/>
  <c r="B19" i="19"/>
  <c r="B20" i="19"/>
  <c r="B21" i="19"/>
  <c r="B22" i="19"/>
  <c r="B23" i="19"/>
  <c r="B24" i="19"/>
  <c r="B25" i="19"/>
  <c r="B26" i="19"/>
  <c r="B27" i="19"/>
  <c r="B28" i="19"/>
  <c r="B29" i="19"/>
  <c r="B30" i="19"/>
  <c r="B31" i="19"/>
  <c r="B32" i="19"/>
  <c r="B33" i="19"/>
  <c r="B34" i="19"/>
  <c r="B35" i="19"/>
  <c r="B36" i="19"/>
  <c r="B37" i="19"/>
  <c r="B38" i="19"/>
  <c r="B39" i="19"/>
  <c r="B40" i="19"/>
  <c r="B41" i="19"/>
  <c r="B42" i="19"/>
  <c r="B43" i="19"/>
  <c r="B44" i="19"/>
  <c r="B45" i="19"/>
  <c r="B46" i="19"/>
  <c r="B47" i="19"/>
  <c r="B48" i="19"/>
  <c r="B49" i="19"/>
  <c r="B50" i="19"/>
  <c r="B51" i="19"/>
  <c r="B52" i="19"/>
  <c r="B53" i="19"/>
  <c r="B54" i="19"/>
  <c r="B55" i="19"/>
  <c r="B4" i="19"/>
  <c r="AA31" i="19"/>
  <c r="AA30" i="19" a="1"/>
  <c r="AA30" i="19" s="1"/>
  <c r="U33" i="19" s="1"/>
  <c r="AA28" i="19"/>
  <c r="U39" i="19"/>
  <c r="V49" i="19"/>
  <c r="V50" i="19"/>
  <c r="V51" i="19"/>
  <c r="V52" i="19"/>
  <c r="V53" i="19"/>
  <c r="V54" i="19"/>
  <c r="V55" i="19"/>
  <c r="V48" i="19"/>
  <c r="V41" i="19"/>
  <c r="V42" i="19"/>
  <c r="V43" i="19"/>
  <c r="V44" i="19"/>
  <c r="V45" i="19"/>
  <c r="V46" i="19"/>
  <c r="V47" i="19"/>
  <c r="V40" i="19"/>
  <c r="V39" i="19"/>
  <c r="V38" i="19"/>
  <c r="U38" i="19"/>
  <c r="V37" i="19"/>
  <c r="U37" i="19"/>
  <c r="V36" i="19"/>
  <c r="U36" i="19"/>
  <c r="V35" i="19"/>
  <c r="V34" i="19"/>
  <c r="V33" i="19"/>
  <c r="V32" i="19"/>
  <c r="V31" i="19"/>
  <c r="U31" i="19"/>
  <c r="V30" i="19"/>
  <c r="U30" i="19"/>
  <c r="V29" i="19"/>
  <c r="U29" i="19"/>
  <c r="V28" i="19"/>
  <c r="U28" i="19"/>
  <c r="V27" i="19"/>
  <c r="U27" i="19"/>
  <c r="V26" i="19"/>
  <c r="U26" i="19"/>
  <c r="V25" i="19"/>
  <c r="U25" i="19"/>
  <c r="AA26" i="19"/>
  <c r="AA29" i="19" s="1" a="1"/>
  <c r="AA29" i="19" s="1"/>
  <c r="V24" i="19"/>
  <c r="U24" i="19"/>
  <c r="AA25" i="19" a="1"/>
  <c r="AA25" i="19" s="1"/>
  <c r="V23" i="19"/>
  <c r="U23" i="19"/>
  <c r="V22" i="19"/>
  <c r="U22" i="19"/>
  <c r="V21" i="19"/>
  <c r="U21" i="19"/>
  <c r="V20" i="19"/>
  <c r="U20" i="19"/>
  <c r="V19" i="19"/>
  <c r="U19" i="19"/>
  <c r="V18" i="19"/>
  <c r="U18" i="19"/>
  <c r="V17" i="19"/>
  <c r="U17" i="19"/>
  <c r="V16" i="19"/>
  <c r="U16" i="19"/>
  <c r="V15" i="19"/>
  <c r="U15" i="19"/>
  <c r="V14" i="19"/>
  <c r="U14" i="19"/>
  <c r="V13" i="19"/>
  <c r="U13" i="19"/>
  <c r="V12" i="19"/>
  <c r="U12" i="19"/>
  <c r="V11" i="19"/>
  <c r="U11" i="19"/>
  <c r="V10" i="19"/>
  <c r="U10" i="19"/>
  <c r="V9" i="19"/>
  <c r="U9" i="19"/>
  <c r="V8" i="19"/>
  <c r="U8" i="19"/>
  <c r="V7" i="19"/>
  <c r="U7" i="19"/>
  <c r="V6" i="19"/>
  <c r="U6" i="19"/>
  <c r="V5" i="19"/>
  <c r="U5" i="19"/>
  <c r="V4" i="19"/>
  <c r="U4" i="19"/>
  <c r="V26" i="18"/>
  <c r="V27" i="18" a="1"/>
  <c r="V27" i="18"/>
  <c r="B33" i="18"/>
  <c r="B34" i="18"/>
  <c r="B35" i="18"/>
  <c r="B36" i="18"/>
  <c r="B37" i="18"/>
  <c r="B38" i="18"/>
  <c r="B39" i="18"/>
  <c r="B32" i="18"/>
  <c r="P28" i="18"/>
  <c r="V23" i="18" a="1"/>
  <c r="V23" i="18" s="1"/>
  <c r="Q39" i="18"/>
  <c r="Q38" i="18"/>
  <c r="Q37" i="18"/>
  <c r="Q36" i="18"/>
  <c r="P39" i="18"/>
  <c r="P38" i="18"/>
  <c r="P37" i="18"/>
  <c r="P36" i="18"/>
  <c r="Q35" i="18"/>
  <c r="Q34" i="18"/>
  <c r="Q33" i="18"/>
  <c r="Q32" i="18"/>
  <c r="Q31" i="18"/>
  <c r="P31" i="18"/>
  <c r="B31" i="18"/>
  <c r="Q30" i="18"/>
  <c r="P30" i="18"/>
  <c r="B30" i="18"/>
  <c r="Q29" i="18"/>
  <c r="P29" i="18"/>
  <c r="B29" i="18"/>
  <c r="Q28" i="18"/>
  <c r="B28" i="18"/>
  <c r="Q27" i="18"/>
  <c r="P27" i="18"/>
  <c r="B27" i="18"/>
  <c r="Q26" i="18"/>
  <c r="P26" i="18"/>
  <c r="B26" i="18"/>
  <c r="Q25" i="18"/>
  <c r="P25" i="18"/>
  <c r="B25" i="18"/>
  <c r="Q24" i="18"/>
  <c r="P24" i="18"/>
  <c r="B24" i="18"/>
  <c r="Q23" i="18"/>
  <c r="P23" i="18"/>
  <c r="B23" i="18"/>
  <c r="Q22" i="18"/>
  <c r="P22" i="18"/>
  <c r="B22" i="18"/>
  <c r="Q21" i="18"/>
  <c r="P21" i="18"/>
  <c r="B21" i="18"/>
  <c r="V24" i="18"/>
  <c r="V28" i="18" s="1" a="1"/>
  <c r="V28" i="18" s="1"/>
  <c r="P32" i="18" s="1"/>
  <c r="Q20" i="18"/>
  <c r="P20" i="18"/>
  <c r="B20" i="18"/>
  <c r="Q19" i="18"/>
  <c r="P19" i="18"/>
  <c r="B19" i="18"/>
  <c r="Q18" i="18"/>
  <c r="P18" i="18"/>
  <c r="B18" i="18"/>
  <c r="Q17" i="18"/>
  <c r="P17" i="18"/>
  <c r="B17" i="18"/>
  <c r="Q16" i="18"/>
  <c r="P16" i="18"/>
  <c r="B16" i="18"/>
  <c r="Q15" i="18"/>
  <c r="P15" i="18"/>
  <c r="B15" i="18"/>
  <c r="Q14" i="18"/>
  <c r="P14" i="18"/>
  <c r="B14" i="18"/>
  <c r="Q13" i="18"/>
  <c r="P13" i="18"/>
  <c r="B13" i="18"/>
  <c r="Q12" i="18"/>
  <c r="P12" i="18"/>
  <c r="B12" i="18"/>
  <c r="Q11" i="18"/>
  <c r="P11" i="18"/>
  <c r="B11" i="18"/>
  <c r="Q10" i="18"/>
  <c r="P10" i="18"/>
  <c r="B10" i="18"/>
  <c r="Q9" i="18"/>
  <c r="P9" i="18"/>
  <c r="B9" i="18"/>
  <c r="Q8" i="18"/>
  <c r="P8" i="18"/>
  <c r="B8" i="18"/>
  <c r="Q7" i="18"/>
  <c r="P7" i="18"/>
  <c r="B7" i="18"/>
  <c r="Q6" i="18"/>
  <c r="P6" i="18"/>
  <c r="B6" i="18"/>
  <c r="Q5" i="18"/>
  <c r="P5" i="18"/>
  <c r="B5" i="18"/>
  <c r="Q4" i="18"/>
  <c r="P4" i="18"/>
  <c r="B4" i="18"/>
  <c r="B28" i="17"/>
  <c r="O28" i="17"/>
  <c r="P28" i="17"/>
  <c r="P35" i="17"/>
  <c r="P34" i="17"/>
  <c r="P33" i="17"/>
  <c r="P32" i="17"/>
  <c r="U23" i="17"/>
  <c r="U19" i="17" a="1"/>
  <c r="U19" i="17" s="1"/>
  <c r="U28" i="17" s="1"/>
  <c r="U20" i="17"/>
  <c r="U24" i="17" s="1" a="1"/>
  <c r="U24" i="17" s="1"/>
  <c r="U25" i="17" s="1" a="1"/>
  <c r="U25" i="17" s="1"/>
  <c r="B4" i="17"/>
  <c r="B5" i="17"/>
  <c r="B6" i="17"/>
  <c r="B7" i="17"/>
  <c r="B8" i="17"/>
  <c r="B9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9" i="17"/>
  <c r="B30" i="17"/>
  <c r="B31" i="17"/>
  <c r="B32" i="17"/>
  <c r="B33" i="17"/>
  <c r="B34" i="17"/>
  <c r="B35" i="17"/>
  <c r="O31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9" i="17"/>
  <c r="P30" i="17"/>
  <c r="P31" i="17"/>
  <c r="P4" i="17"/>
  <c r="O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9" i="17"/>
  <c r="O30" i="17"/>
  <c r="B16" i="5"/>
  <c r="B19" i="14"/>
  <c r="B20" i="14"/>
  <c r="B14" i="15"/>
  <c r="G31" i="16"/>
  <c r="G39" i="16" s="1"/>
  <c r="G32" i="16"/>
  <c r="G33" i="16"/>
  <c r="G34" i="16"/>
  <c r="G35" i="16"/>
  <c r="G36" i="16"/>
  <c r="G37" i="16"/>
  <c r="G38" i="16"/>
  <c r="B16" i="16"/>
  <c r="C23" i="2"/>
  <c r="C24" i="2"/>
  <c r="I29" i="15"/>
  <c r="I37" i="15" s="1"/>
  <c r="B14" i="1"/>
  <c r="C38" i="2"/>
  <c r="I30" i="15"/>
  <c r="I31" i="15"/>
  <c r="I32" i="15"/>
  <c r="I33" i="15"/>
  <c r="I34" i="15"/>
  <c r="I35" i="15"/>
  <c r="I36" i="15"/>
  <c r="C25" i="2"/>
  <c r="C32" i="2"/>
  <c r="C29" i="2"/>
  <c r="H38" i="5"/>
  <c r="H37" i="5"/>
  <c r="H36" i="5"/>
  <c r="H35" i="5"/>
  <c r="H34" i="5"/>
  <c r="H33" i="5"/>
  <c r="H32" i="5"/>
  <c r="H31" i="5"/>
  <c r="H39" i="5" s="1"/>
  <c r="C74" i="2"/>
  <c r="C71" i="2"/>
  <c r="C65" i="2"/>
  <c r="C62" i="2"/>
  <c r="C41" i="2"/>
  <c r="C39" i="2"/>
  <c r="C26" i="2"/>
  <c r="D15" i="3"/>
  <c r="B61" i="3" s="1"/>
  <c r="B70" i="3"/>
  <c r="B24" i="14"/>
  <c r="B23" i="14"/>
  <c r="B36" i="1"/>
  <c r="B35" i="1"/>
  <c r="B33" i="1"/>
  <c r="B26" i="1"/>
  <c r="B27" i="1"/>
  <c r="B24" i="1"/>
  <c r="D14" i="14"/>
  <c r="D56" i="2"/>
  <c r="B44" i="3"/>
  <c r="B26" i="3"/>
  <c r="B22" i="3"/>
  <c r="B35" i="3"/>
  <c r="C42" i="2"/>
  <c r="AA33" i="19" l="1"/>
  <c r="U34" i="19"/>
  <c r="U32" i="19"/>
  <c r="U35" i="19"/>
  <c r="V30" i="18"/>
  <c r="P33" i="18"/>
  <c r="P35" i="18"/>
  <c r="P34" i="18"/>
  <c r="O34" i="17"/>
  <c r="O32" i="17"/>
  <c r="O35" i="17"/>
  <c r="O33" i="17"/>
  <c r="C20" i="15"/>
  <c r="C24" i="15"/>
  <c r="C25" i="15"/>
  <c r="C21" i="15"/>
  <c r="C27" i="5"/>
  <c r="C23" i="5"/>
  <c r="C24" i="5"/>
  <c r="C22" i="5"/>
  <c r="C28" i="5" s="1"/>
  <c r="C26" i="5"/>
  <c r="C25" i="5"/>
  <c r="C24" i="16"/>
  <c r="C23" i="16"/>
  <c r="C22" i="16"/>
  <c r="B79" i="3"/>
  <c r="B57" i="3"/>
  <c r="C23" i="15"/>
  <c r="C26" i="16"/>
  <c r="C27" i="16"/>
  <c r="C25" i="16"/>
  <c r="C22" i="15"/>
  <c r="C26" i="15" s="1"/>
  <c r="AA35" i="19" l="1"/>
  <c r="AA36" i="19"/>
  <c r="AA37" i="19"/>
  <c r="V34" i="18"/>
  <c r="V32" i="18"/>
  <c r="V33" i="18"/>
  <c r="U30" i="17"/>
  <c r="U31" i="17"/>
  <c r="U32" i="17"/>
  <c r="C28" i="16"/>
  <c r="AA38" i="19" l="1"/>
  <c r="V35" i="18"/>
  <c r="U33" i="1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<sst xmlns="http://schemas.openxmlformats.org/spreadsheetml/2006/main" count="1814" uniqueCount="407">
  <si>
    <t>Nome:</t>
  </si>
  <si>
    <t>Dados</t>
  </si>
  <si>
    <r>
      <t>IMC (m/kg</t>
    </r>
    <r>
      <rPr>
        <vertAlign val="superscript"/>
        <sz val="12"/>
        <color indexed="18"/>
        <rFont val="Cambria"/>
        <family val="1"/>
      </rPr>
      <t>2</t>
    </r>
    <r>
      <rPr>
        <sz val="12"/>
        <color indexed="18"/>
        <rFont val="Cambria"/>
        <family val="1"/>
      </rPr>
      <t>) pré-gestacional</t>
    </r>
  </si>
  <si>
    <t>Ganho de peso total (kg)</t>
  </si>
  <si>
    <t>Ganho de peso semanal (g/semana)</t>
  </si>
  <si>
    <t>Idade (anos)</t>
  </si>
  <si>
    <t>&lt; 19,8 (baixo peso)</t>
  </si>
  <si>
    <t>12,5 a 18</t>
  </si>
  <si>
    <t>500 a partir do 2o trimestre</t>
  </si>
  <si>
    <t>Altura (m)</t>
  </si>
  <si>
    <t>19,8 a 26 (eutrofia)</t>
  </si>
  <si>
    <t>11,5 a 16</t>
  </si>
  <si>
    <t>400 a partir do 2o trimestre</t>
  </si>
  <si>
    <t>Peso pré-gestacional (kg)</t>
  </si>
  <si>
    <t>26 a 29 (sobrepeso)</t>
  </si>
  <si>
    <t>7,0 a 11,5</t>
  </si>
  <si>
    <t>300 a partir do 2o trimestre</t>
  </si>
  <si>
    <r>
      <t>IMC (altura/peso</t>
    </r>
    <r>
      <rPr>
        <vertAlign val="superscript"/>
        <sz val="11"/>
        <color indexed="62"/>
        <rFont val="Calibri"/>
        <family val="2"/>
      </rPr>
      <t>2</t>
    </r>
    <r>
      <rPr>
        <sz val="11"/>
        <color indexed="62"/>
        <rFont val="Calibri"/>
        <family val="2"/>
      </rPr>
      <t>)</t>
    </r>
  </si>
  <si>
    <t>&gt; 29 (obesidade)</t>
  </si>
  <si>
    <t>7,0 a 9,1</t>
  </si>
  <si>
    <t>200 a partir do 2o trimestre</t>
  </si>
  <si>
    <t>Idade gestacional (dias)</t>
  </si>
  <si>
    <t>IOM,1992</t>
  </si>
  <si>
    <t>Obs: em caso de gestante de baixo peso</t>
  </si>
  <si>
    <t xml:space="preserve">não usar o peso pré-gestacional, mas sim </t>
  </si>
  <si>
    <t>o peso adequado para sua estatura e idade.</t>
  </si>
  <si>
    <t>Necessidade Energética Estimada                    IOM,2002</t>
  </si>
  <si>
    <t>14 a 18 anos</t>
  </si>
  <si>
    <t>Fator de Atividade Física - 14 a 18 anos</t>
  </si>
  <si>
    <r>
      <t>1</t>
    </r>
    <r>
      <rPr>
        <b/>
        <vertAlign val="superscript"/>
        <sz val="11"/>
        <color indexed="56"/>
        <rFont val="Calibri"/>
        <family val="2"/>
      </rPr>
      <t>o</t>
    </r>
    <r>
      <rPr>
        <b/>
        <sz val="11"/>
        <color indexed="56"/>
        <rFont val="Calibri"/>
        <family val="2"/>
      </rPr>
      <t xml:space="preserve"> Trimestre </t>
    </r>
  </si>
  <si>
    <t>Kcal</t>
  </si>
  <si>
    <t xml:space="preserve">Sedentário </t>
  </si>
  <si>
    <t xml:space="preserve">AF = 1,00 se grau de AF estimado em ≥1,0 &lt;1,4 </t>
  </si>
  <si>
    <t>1º</t>
  </si>
  <si>
    <t xml:space="preserve">Pouco ativo </t>
  </si>
  <si>
    <t>AF = 1,16 se grau de AF estimado em ≥1,4 &lt;1,6</t>
  </si>
  <si>
    <t>Trimestres</t>
  </si>
  <si>
    <t>Ativo</t>
  </si>
  <si>
    <t xml:space="preserve"> AF = 1,31 se grau de AF estimado em ≥1,6 &lt;1,9</t>
  </si>
  <si>
    <t>2º</t>
  </si>
  <si>
    <t xml:space="preserve">Muito ativo </t>
  </si>
  <si>
    <t>AF = 1,56 se grau de AF estimado em ≥1,9 &lt;2,5</t>
  </si>
  <si>
    <t>3º</t>
  </si>
  <si>
    <t>Fator de Atividade Física (FA)</t>
  </si>
  <si>
    <t>19 a 50 anos</t>
  </si>
  <si>
    <t>Fator de Atividade Física - 19 a 50 anos</t>
  </si>
  <si>
    <t>AF = 1,12 se grau de AF estimado em ≥1,4 &lt;1,6</t>
  </si>
  <si>
    <r>
      <t>2</t>
    </r>
    <r>
      <rPr>
        <b/>
        <vertAlign val="superscript"/>
        <sz val="11"/>
        <color indexed="56"/>
        <rFont val="Calibri"/>
        <family val="2"/>
      </rPr>
      <t>o</t>
    </r>
    <r>
      <rPr>
        <b/>
        <sz val="11"/>
        <color indexed="56"/>
        <rFont val="Calibri"/>
        <family val="2"/>
      </rPr>
      <t xml:space="preserve"> e 3</t>
    </r>
    <r>
      <rPr>
        <b/>
        <vertAlign val="superscript"/>
        <sz val="11"/>
        <color indexed="56"/>
        <rFont val="Calibri"/>
        <family val="2"/>
      </rPr>
      <t>o</t>
    </r>
    <r>
      <rPr>
        <b/>
        <sz val="11"/>
        <color indexed="56"/>
        <rFont val="Calibri"/>
        <family val="2"/>
      </rPr>
      <t xml:space="preserve"> Trimestres</t>
    </r>
  </si>
  <si>
    <t xml:space="preserve"> AF = 1,27 se grau de AF estimado em ≥1,6 &lt;1,9</t>
  </si>
  <si>
    <t>AF = 1,45 se grau de AF estimado em ≥1,9 &lt;2,5</t>
  </si>
  <si>
    <t>Nutrizes</t>
  </si>
  <si>
    <t>IOM, 2002 - Necessidade energética estimada (NEE)</t>
  </si>
  <si>
    <t>Peso (kg)</t>
  </si>
  <si>
    <r>
      <t>IMC (altura/peso</t>
    </r>
    <r>
      <rPr>
        <vertAlign val="superscript"/>
        <sz val="11"/>
        <color indexed="56"/>
        <rFont val="Calibri"/>
        <family val="2"/>
      </rPr>
      <t>2</t>
    </r>
    <r>
      <rPr>
        <sz val="11"/>
        <color indexed="56"/>
        <rFont val="Calibri"/>
        <family val="2"/>
      </rPr>
      <t>)</t>
    </r>
  </si>
  <si>
    <t>Meses em aleitamento</t>
  </si>
  <si>
    <t>Indivíduos com peso normal</t>
  </si>
  <si>
    <t>IOM, 2002 - Cálculo da Necessidade energética estimada (NEE)</t>
  </si>
  <si>
    <t>0 - 6 meses</t>
  </si>
  <si>
    <t>Fator de Atividade Física - Mulheres a partir de 19 anos</t>
  </si>
  <si>
    <t>14 - 18 anos</t>
  </si>
  <si>
    <t>19 - 50 anos</t>
  </si>
  <si>
    <t>7 - 12 meses</t>
  </si>
  <si>
    <t>Fator de Atividade Física (AF)</t>
  </si>
  <si>
    <r>
      <t xml:space="preserve">Idade </t>
    </r>
    <r>
      <rPr>
        <b/>
        <sz val="12"/>
        <color indexed="60"/>
        <rFont val="Cambria"/>
        <family val="1"/>
      </rPr>
      <t>(meses)</t>
    </r>
  </si>
  <si>
    <r>
      <t xml:space="preserve">Idade </t>
    </r>
    <r>
      <rPr>
        <b/>
        <sz val="11"/>
        <color indexed="60"/>
        <rFont val="Calibri"/>
        <family val="2"/>
      </rPr>
      <t>(anos)</t>
    </r>
  </si>
  <si>
    <t>Sexo (1=menino,2=menina)</t>
  </si>
  <si>
    <r>
      <t>IMC (altura/peso</t>
    </r>
    <r>
      <rPr>
        <vertAlign val="superscript"/>
        <sz val="11"/>
        <color indexed="60"/>
        <rFont val="Calibri"/>
        <family val="2"/>
      </rPr>
      <t>2</t>
    </r>
    <r>
      <rPr>
        <sz val="11"/>
        <color indexed="60"/>
        <rFont val="Calibri"/>
        <family val="2"/>
      </rPr>
      <t>)</t>
    </r>
  </si>
  <si>
    <t xml:space="preserve">Indivíduos com peso normal </t>
  </si>
  <si>
    <t>IOM, 2002 - cálculo do Gasto energético basal (GEB)</t>
  </si>
  <si>
    <t xml:space="preserve">Crianças </t>
  </si>
  <si>
    <t>0 a 3 meses</t>
  </si>
  <si>
    <t>4 a 6 meses</t>
  </si>
  <si>
    <t>7 a 12 meses</t>
  </si>
  <si>
    <t>Fator de Atividade Física - Meninos de 3 a 18 anos com IMC entre os percentis 3 e 85</t>
  </si>
  <si>
    <t>13 a 36 meses</t>
  </si>
  <si>
    <t>AF = 1,13 se grau de AF estimado em ≥1,4 &lt;1,6</t>
  </si>
  <si>
    <t xml:space="preserve">Meninos </t>
  </si>
  <si>
    <t xml:space="preserve"> AF = 1,26 se grau de AF estimado em ≥1,6 &lt;1,9</t>
  </si>
  <si>
    <t>3 a 18 anos</t>
  </si>
  <si>
    <t>AF = 1,43 se grau de AF estimado em ≥1,9 &lt;2,5</t>
  </si>
  <si>
    <t>Meninas</t>
  </si>
  <si>
    <t>Fator de Atividade Física - Meninas de 3 a 18 anos com IMC entre os percentis 3 e 85</t>
  </si>
  <si>
    <t>IOM, 2002 - cálculo da Necessidade energética estimada (NEE)</t>
  </si>
  <si>
    <t>3 a 8 anos</t>
  </si>
  <si>
    <t>9 a 18 anos</t>
  </si>
  <si>
    <t>Indivíduos com excesso de peso</t>
  </si>
  <si>
    <t>Sexo (1=meninos, 2=meninas)</t>
  </si>
  <si>
    <t>IOM, 2002 - Gasto energético basal (GEB)</t>
  </si>
  <si>
    <t>IOM, 2005 - Gasto energético total (GET)</t>
  </si>
  <si>
    <r>
      <t xml:space="preserve">Fator de Atividade Física - Meninos de 3 a 18 anos com IMC </t>
    </r>
    <r>
      <rPr>
        <b/>
        <u/>
        <sz val="11"/>
        <rFont val="Calibri"/>
        <family val="2"/>
      </rPr>
      <t>acima</t>
    </r>
    <r>
      <rPr>
        <b/>
        <sz val="11"/>
        <rFont val="Calibri"/>
        <family val="2"/>
      </rPr>
      <t xml:space="preserve"> do percentil 85</t>
    </r>
  </si>
  <si>
    <t xml:space="preserve"> AF = 1,21 se grau de AF estimado em ≥1,6 &lt;1,9</t>
  </si>
  <si>
    <t>AF = 1,52 se grau de AF estimado em ≥1,9 &lt;2,5</t>
  </si>
  <si>
    <r>
      <t xml:space="preserve">Fator de Atividade Física - Meninas de 3 a 18 anos com IMC </t>
    </r>
    <r>
      <rPr>
        <b/>
        <u/>
        <sz val="11"/>
        <rFont val="Calibri"/>
        <family val="2"/>
      </rPr>
      <t>acima</t>
    </r>
    <r>
      <rPr>
        <b/>
        <sz val="11"/>
        <rFont val="Calibri"/>
        <family val="2"/>
      </rPr>
      <t xml:space="preserve"> do percentil 85</t>
    </r>
  </si>
  <si>
    <t>AF = 1,18 se grau de AF estimado em ≥1,4 &lt;1,6</t>
  </si>
  <si>
    <t xml:space="preserve"> AF = 1,35 se grau de AF estimado em ≥1,6 &lt;1,9</t>
  </si>
  <si>
    <t>AF = 1,63 se grau de AF estimado em ≥1,9 &lt;2,5</t>
  </si>
  <si>
    <t>Universidade de Brasília - departamento de nutrição</t>
  </si>
  <si>
    <t>Referencia</t>
  </si>
  <si>
    <t>ComplexId</t>
  </si>
  <si>
    <t>text complexId</t>
  </si>
  <si>
    <t>Sex and Age</t>
  </si>
  <si>
    <t>Sex</t>
  </si>
  <si>
    <t>gestante</t>
  </si>
  <si>
    <t>Age group</t>
  </si>
  <si>
    <t>Activity level</t>
  </si>
  <si>
    <t>constant factor</t>
  </si>
  <si>
    <t>age factor</t>
  </si>
  <si>
    <t>height factor</t>
  </si>
  <si>
    <t>weigth factor</t>
  </si>
  <si>
    <t>Gestation factor</t>
  </si>
  <si>
    <t>Trimester</t>
  </si>
  <si>
    <t>RMSE kcal/d</t>
  </si>
  <si>
    <t>Full equation</t>
  </si>
  <si>
    <t>textEquation</t>
  </si>
  <si>
    <t>Modificada</t>
  </si>
  <si>
    <t>CalcNut 2023</t>
  </si>
  <si>
    <t>Equacoes pagina 18</t>
  </si>
  <si>
    <t>Sexo:m_Gestante:n_Idade:19≤_Atividade:Inativo</t>
  </si>
  <si>
    <t>Men 19 years and above</t>
  </si>
  <si>
    <t>m</t>
  </si>
  <si>
    <t>n</t>
  </si>
  <si>
    <t>19≤</t>
  </si>
  <si>
    <t>Inativo</t>
  </si>
  <si>
    <t>753,07 - (10,83*N4) + (6,5*N6) + (14,1*N5)</t>
  </si>
  <si>
    <t>Sexo:m_Gestante:n_Idade:19≤_Atividade:Pouco ativo</t>
  </si>
  <si>
    <t>Pouco ativo</t>
  </si>
  <si>
    <t>581,47 - (10,83*N4) + (8,3*N6) + (14,94*N5)</t>
  </si>
  <si>
    <t>Sexo:m_Gestante:n_Idade:19≤_Atividade:Ativo</t>
  </si>
  <si>
    <t>1004,82 - (10,83*N4) + (6,52*N6) + (15,91*N5)</t>
  </si>
  <si>
    <t>Sexo:m_Gestante:n_Idade:19≤_Atividade:Muito ativo</t>
  </si>
  <si>
    <t>Muito ativo</t>
  </si>
  <si>
    <t>-517,88 - (10,83*N4) + (15,61*N6) + (19,11*N5)</t>
  </si>
  <si>
    <t>Sexo:f_Gestante:n_Idade:19≤_Atividade:Inativo</t>
  </si>
  <si>
    <t>Women 19 years and above</t>
  </si>
  <si>
    <t>f</t>
  </si>
  <si>
    <t>584,9 - (7,01*N4) + (5,72*N6) + (11,71*N5)</t>
  </si>
  <si>
    <t>Sexo:f_Gestante:n_Idade:19≤_Atividade:Pouco ativo</t>
  </si>
  <si>
    <t>575,77 - (7,01*N4) + (6,6*N6) + (12,14*N5)</t>
  </si>
  <si>
    <t>Sexo:f_Gestante:n_Idade:19≤_Atividade:Ativo</t>
  </si>
  <si>
    <t>710,25 - (7,01*N4) + (6,54*N6) + (12,34*N5)</t>
  </si>
  <si>
    <t>Sexo:f_Gestante:n_Idade:19≤_Atividade:Muito ativo</t>
  </si>
  <si>
    <t>511,83 - (7,01*N4) + (9,07*N6) + (12,56*N5)</t>
  </si>
  <si>
    <t>Estimativa de gasto energético GET - Equações IOM 2023</t>
  </si>
  <si>
    <t>Sexo:m_Gestante:n_Idade:3a18_Atividade:Inativo</t>
  </si>
  <si>
    <t>Boys, 3-18 years</t>
  </si>
  <si>
    <t>3a18</t>
  </si>
  <si>
    <t>-447,51 + (3,68*N4) + (13,01*N6) + (13,15*N5)</t>
  </si>
  <si>
    <t>Crianças, Adolescentes, Adultos e Idosos</t>
  </si>
  <si>
    <t>Sexo:m_Gestante:n_Idade:3a18_Atividade:Pouco ativo</t>
  </si>
  <si>
    <t>19,12 + (3,68*N4) + (8,62*N6) + (20,28*N5)</t>
  </si>
  <si>
    <t>Sexo:m_Gestante:n_Idade:3a18_Atividade:Ativo</t>
  </si>
  <si>
    <t>-388,19 + (3,68*N4) + (12,66*N6) + (20,46*N5)</t>
  </si>
  <si>
    <t>Sexo</t>
  </si>
  <si>
    <t>Feminino</t>
  </si>
  <si>
    <t>Sexo:m_Gestante:n_Idade:3a18_Atividade:Muito ativo</t>
  </si>
  <si>
    <t>-671,75 + (3,68*N4) + (15,38*N6) + (23,25*N5)</t>
  </si>
  <si>
    <t>Gestante</t>
  </si>
  <si>
    <t>Sim</t>
  </si>
  <si>
    <t>Sexo:f_Gestante:n_Idade:3a18_Atividade:Inativo</t>
  </si>
  <si>
    <t>Girls, 3-18 years</t>
  </si>
  <si>
    <t>55,59 - (22,25*N4) + (8,43*N6) + (17,07*N5)</t>
  </si>
  <si>
    <t>Sexo:f_Gestante:n_Idade:3a18_Atividade:Pouco ativo</t>
  </si>
  <si>
    <t>-297,54 - (22,25*N4) + (12,77*N6) + (14,73*N5)</t>
  </si>
  <si>
    <t>SemanaGestacao</t>
  </si>
  <si>
    <t>Sexo:f_Gestante:n_Idade:3a18_Atividade:Ativo</t>
  </si>
  <si>
    <t>-189,55 - (22,25*N4) + (11,74*N6) + (18,34*N5)</t>
  </si>
  <si>
    <t>Sexo:f_Gestante:n_Idade:3a18_Atividade:Muito ativo</t>
  </si>
  <si>
    <t>-709,59 - (22,25*N4) + (18,22*N6) + (14,25*N5)</t>
  </si>
  <si>
    <t>Peso (Kg)</t>
  </si>
  <si>
    <t>Sexo:m_Gestante:n_Idade:0a2_Atividade:Inativo</t>
  </si>
  <si>
    <t>Boys, 0-2 years</t>
  </si>
  <si>
    <t>0a2</t>
  </si>
  <si>
    <t>-716,45 - (1*N4) + (17,82*N6) + (15,06*N5)</t>
  </si>
  <si>
    <t>Altura (cm)</t>
  </si>
  <si>
    <t>Sexo:m_Gestante:n_Idade:0a2_Atividade:Pouco ativo</t>
  </si>
  <si>
    <t>Nível de atividade</t>
  </si>
  <si>
    <t>Sexo:m_Gestante:n_Idade:0a2_Atividade:Ativo</t>
  </si>
  <si>
    <t>Sexo:m_Gestante:n_Idade:0a2_Atividade:Muito ativo</t>
  </si>
  <si>
    <t>Idade grupo</t>
  </si>
  <si>
    <t>Sexo:f_Gestante:n_Idade:0a2_Atividade:Inativo</t>
  </si>
  <si>
    <t>Girls, 0-2 years</t>
  </si>
  <si>
    <t>-69,15 + (80*N4) + (2,65*N6) + (54,15*N5)</t>
  </si>
  <si>
    <t>IMC (Kg/m²)</t>
  </si>
  <si>
    <t>Sexo:f_Gestante:n_Idade:0a2_Atividade:Pouco ativo</t>
  </si>
  <si>
    <t>Sexo:f_Gestante:n_Idade:0a2_Atividade:Ativo</t>
  </si>
  <si>
    <t>TrimestreGestacao</t>
  </si>
  <si>
    <t>Sexo:f_Gestante:n_Idade:0a2_Atividade:Muito ativo</t>
  </si>
  <si>
    <t>Faixa IMC</t>
  </si>
  <si>
    <t>Pregnant women in their second and third trimester od pregnancy</t>
  </si>
  <si>
    <t>s</t>
  </si>
  <si>
    <t>any</t>
  </si>
  <si>
    <t>1131,2 - (2,04*N4) + (0,34*N6) + (12,15*N5)</t>
  </si>
  <si>
    <t>DeposicaoEnergia</t>
  </si>
  <si>
    <t>693,35 - (2,04*N4) + (5,73*N6) + (10,2*N5)</t>
  </si>
  <si>
    <t>-223,84 - (2,04*N4) + (13,23*N6) + (8,15*N5)</t>
  </si>
  <si>
    <t>complexId</t>
  </si>
  <si>
    <t>-779,72 - (2,04*N4) + (18,45*N6) + (8,73*N5)</t>
  </si>
  <si>
    <t>Equacoes pagina 100</t>
  </si>
  <si>
    <t>Sexo:Feminino_Gestante:Sim_Idade:19≤_Atividade:Inativo_Tri:2ou3</t>
  </si>
  <si>
    <t>2ou3</t>
  </si>
  <si>
    <t>1131,2 - (2,04*N4) + (0,34*N6) + (12,15*N5) + 9,16* N8 + N11</t>
  </si>
  <si>
    <t>Equação</t>
  </si>
  <si>
    <t>Sexo:Feminino_Gestante:Sim_Idade:19≤_Atividade:Pouco ativo_Tri:2ou3</t>
  </si>
  <si>
    <t>693,35 - (2,04*N4) + (5,73*N6) + (10,2*N5) + 9,16* N8 + N11</t>
  </si>
  <si>
    <t>TEE/GET (Kcal/dia)</t>
  </si>
  <si>
    <t>Sexo:Feminino_Gestante:Sim_Idade:19≤_Atividade:Ativo_Tri:2ou3</t>
  </si>
  <si>
    <t>-223,84 - (2,04*N4) + (13,23*N6) + (8,15*N5) + 9,16* N8 + N11</t>
  </si>
  <si>
    <t>RMSE (Kcal/dia)</t>
  </si>
  <si>
    <t>Sexo:Feminino_Gestante:Sim_Idade:19≤_Atividade:Muito ativo_Tri:2ou3</t>
  </si>
  <si>
    <t>-779,72 - (2,04*N4) + (18,45*N6) + (8,73*N5) + 9,16* N8 + N11</t>
  </si>
  <si>
    <t>Variação TEE/GET (Kcal/dia)</t>
  </si>
  <si>
    <t>Sexo:Feminino_Gestante:Sim_Idade:19≤_Atividade:Inativo_Tri:1</t>
  </si>
  <si>
    <t>Sexo:Feminino_Gestante:Sim_Idade:19≤_Atividade:Pouco ativo_Tri:1</t>
  </si>
  <si>
    <t>Sexo:Feminino_Gestante:Sim_Idade:19≤_Atividade:Ativo_Tri:1</t>
  </si>
  <si>
    <t>Sexo:Feminino_Gestante:Sim_Idade:19≤_Atividade:Muito ativo_Tri:1</t>
  </si>
  <si>
    <t>Age Group (years)</t>
  </si>
  <si>
    <t>PAL Category</t>
  </si>
  <si>
    <t>PAL range bot</t>
  </si>
  <si>
    <t>PAL range top</t>
  </si>
  <si>
    <t>3-8,99</t>
  </si>
  <si>
    <t>Inactive</t>
  </si>
  <si>
    <t>Low active</t>
  </si>
  <si>
    <t>Active</t>
  </si>
  <si>
    <t>Very active</t>
  </si>
  <si>
    <t>9-13,99</t>
  </si>
  <si>
    <t>14-18,99</t>
  </si>
  <si>
    <t>19 and over</t>
  </si>
  <si>
    <t>Gestacional Week</t>
  </si>
  <si>
    <t>Energy deposition</t>
  </si>
  <si>
    <t>Sexo:f_Gestante:s_Idade:any_Atividade:Inativo</t>
  </si>
  <si>
    <t>not found</t>
  </si>
  <si>
    <t>Sexo:f_Gestante:s_Idade:any_Atividade:Pouco ativo</t>
  </si>
  <si>
    <t>Sexo:f_Gestante:s_Idade:any_Atividade:Ativo</t>
  </si>
  <si>
    <t>Sexo:f_Gestante:s_Idade:any_Atividade:Muito ativo</t>
  </si>
  <si>
    <t>Sexo (1=homen, 2=mulher)</t>
  </si>
  <si>
    <r>
      <t>IMC (altura/peso</t>
    </r>
    <r>
      <rPr>
        <vertAlign val="superscript"/>
        <sz val="11"/>
        <color indexed="9"/>
        <rFont val="Calibri"/>
        <family val="2"/>
      </rPr>
      <t>2</t>
    </r>
    <r>
      <rPr>
        <sz val="11"/>
        <color indexed="9"/>
        <rFont val="Calibri"/>
        <family val="2"/>
      </rPr>
      <t>)</t>
    </r>
  </si>
  <si>
    <t>Mulheres</t>
  </si>
  <si>
    <t>a partir de 19 anos</t>
  </si>
  <si>
    <t>Homens</t>
  </si>
  <si>
    <t>Fator de Atividade Física - Homens a partir de 19 anos</t>
  </si>
  <si>
    <t>AF = 1,11 se grau de AF estimado em ≥1,4 &lt;1,6</t>
  </si>
  <si>
    <t xml:space="preserve"> AF = 1,25 se grau de AF estimado em ≥1,6 &lt;1,9</t>
  </si>
  <si>
    <t>AF = 1,48 se grau de AF estimado em ≥1,9 &lt;2,5</t>
  </si>
  <si>
    <t>IOM, 2005 - Gasto energético basal (GEB)</t>
  </si>
  <si>
    <t>AF = 1,44 se grau de AF estimado em ≥1,9 &lt;2,5</t>
  </si>
  <si>
    <t xml:space="preserve"> AF = 1,29 se grau de AF estimado em ≥1,6 &lt;1,9</t>
  </si>
  <si>
    <t>AF = 1,59 se grau de AF estimado em ≥1,9 &lt;2,5</t>
  </si>
  <si>
    <t xml:space="preserve">Nome: </t>
  </si>
  <si>
    <r>
      <t>IMC (kg/altura</t>
    </r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>)</t>
    </r>
  </si>
  <si>
    <t>Valor GET calculado (kcal)</t>
  </si>
  <si>
    <t>Refeição</t>
  </si>
  <si>
    <t>% VET</t>
  </si>
  <si>
    <t>Desjejum</t>
  </si>
  <si>
    <t>Colação</t>
  </si>
  <si>
    <t>Almoço</t>
  </si>
  <si>
    <t>Lanche</t>
  </si>
  <si>
    <t>Jantar</t>
  </si>
  <si>
    <t>Ceia</t>
  </si>
  <si>
    <t>Total</t>
  </si>
  <si>
    <t>Grupos alimentares da pirâmide adaptada</t>
  </si>
  <si>
    <t>Porções*</t>
  </si>
  <si>
    <t>Valor Energético</t>
  </si>
  <si>
    <t xml:space="preserve">Kcal máximas </t>
  </si>
  <si>
    <t>Porções recomendadas</t>
  </si>
  <si>
    <t>Cereais, pães, raízes e tubérculos</t>
  </si>
  <si>
    <t>6 a 12</t>
  </si>
  <si>
    <t>80 a 100</t>
  </si>
  <si>
    <t>Hortaliças</t>
  </si>
  <si>
    <t>5 a 7</t>
  </si>
  <si>
    <t>20 a 40</t>
  </si>
  <si>
    <t>Frutas</t>
  </si>
  <si>
    <t>4 a 7</t>
  </si>
  <si>
    <t>60 a 90</t>
  </si>
  <si>
    <t>Leguminosas e oleaginosas</t>
  </si>
  <si>
    <t>1 a 2</t>
  </si>
  <si>
    <t>Carnes e ovos</t>
  </si>
  <si>
    <t>1,5 a 3</t>
  </si>
  <si>
    <t>90 a 100</t>
  </si>
  <si>
    <t>Produtos  lácteos</t>
  </si>
  <si>
    <t xml:space="preserve">2 a 4 </t>
  </si>
  <si>
    <t>80 a 110</t>
  </si>
  <si>
    <t>Óleos e gorduras</t>
  </si>
  <si>
    <t>Açúcares e doces</t>
  </si>
  <si>
    <t>60 a 80</t>
  </si>
  <si>
    <t>TOTAL</t>
  </si>
  <si>
    <t>*Lista de equivalentes de porção disponível em: www.unb.br/fs/adolescente</t>
  </si>
  <si>
    <t>Porções</t>
  </si>
  <si>
    <t>5 a 9</t>
  </si>
  <si>
    <t>4 a 5</t>
  </si>
  <si>
    <t>3 a 5</t>
  </si>
  <si>
    <t>2.200 - 4.000 Kcal</t>
  </si>
  <si>
    <t>7 a 13</t>
  </si>
  <si>
    <t xml:space="preserve">3 a 4 </t>
  </si>
  <si>
    <t>Fonte: NOGUEIRA, JAD; Da COSTA, THM. Nutrient intake and eating habits of triathletes on a Brazilian diet. International Journal of Sport Nutrition. v.14, n.6, p.684 - 697, 2004</t>
  </si>
  <si>
    <t xml:space="preserve">Fonte: Philippi et al. Rev Nutr, Campinas v.12, n. 1, p. 65-80, 1999. </t>
  </si>
  <si>
    <t>nutriz</t>
  </si>
  <si>
    <t>Equacoes pagina 6</t>
  </si>
  <si>
    <t>&lt;19</t>
  </si>
  <si>
    <t>Nao</t>
  </si>
  <si>
    <t xml:space="preserve">energy cost of milk production </t>
  </si>
  <si>
    <t xml:space="preserve">energy mobilization </t>
  </si>
  <si>
    <t>postpartumMonth</t>
  </si>
  <si>
    <t>0a6meses</t>
  </si>
  <si>
    <t>exclusiveBreastifeeding</t>
  </si>
  <si>
    <t>Equacoes pagina 7</t>
  </si>
  <si>
    <t>Exclusive breastfeeding Women, 19 years and above</t>
  </si>
  <si>
    <t>Exclusive breastfeeding Girls, &lt; 19 years</t>
  </si>
  <si>
    <t>Partial breastfeeding Women, 19 years and above</t>
  </si>
  <si>
    <t>Partial breastfeeding Girls, &lt; 19 years</t>
  </si>
  <si>
    <t>Parcial</t>
  </si>
  <si>
    <t>Exclusivo</t>
  </si>
  <si>
    <t>7a12meses</t>
  </si>
  <si>
    <t>notFound</t>
  </si>
  <si>
    <t>584,9 - (7,01*AA18) + (5,72*AA20) + (11,71*AA19) +  R40 -  S40</t>
  </si>
  <si>
    <t>575,77 - (7,01*AA18) + (6,6*AA20) + (12,14*AA19) +  R40 -  S40</t>
  </si>
  <si>
    <t>710,25 - (7,01*AA18) + (6,54*AA20) + (12,34*AA19) +  R40 -  S40</t>
  </si>
  <si>
    <t>511,83 - (7,01*AA18) + (9,07*AA20) + (12,56*AA19) +  R40 -  S40</t>
  </si>
  <si>
    <t>55,59 - (22,25*AA18) + (8,43*AA20) + (17,07*AA19) +  R40 -  S40</t>
  </si>
  <si>
    <t>-297,54 - (22,25*AA18) + (12,77*AA20) + (14,73*AA19) +  R40 -  S40</t>
  </si>
  <si>
    <t>-189,55 - (22,25*AA18) + (11,74*AA20) + (18,34*AA19) +  R40 -  S40</t>
  </si>
  <si>
    <t>-709,59 - (22,25*AA18) + (18,22*AA20) + (14,25*AA19) +  R40 -  S40</t>
  </si>
  <si>
    <t>584,9 - (7,01*AA18) + (5,72*AA20) + (11,71*AA19) +  R48</t>
  </si>
  <si>
    <t>575,77 - (7,01*AA18) + (6,6*AA20) + (12,14*AA19) +  R48</t>
  </si>
  <si>
    <t>710,25 - (7,01*AA18) + (6,54*AA20) + (12,34*AA19) +  R48</t>
  </si>
  <si>
    <t>511,83 - (7,01*AA18) + (9,07*AA20) + (12,56*AA19) +  R48</t>
  </si>
  <si>
    <t>55,59 - (22,25*AA18) + (8,43*AA20) + (17,07*AA19) +  R48</t>
  </si>
  <si>
    <t>-297,54 - (22,25*AA18) + (12,77*AA20) + (14,73*AA19) +  R48</t>
  </si>
  <si>
    <t>-189,55 - (22,25*AA18) + (11,74*AA20) + (18,34*AA19) +  R48</t>
  </si>
  <si>
    <t>-709,59 - (22,25*AA18) + (18,22*AA20) + (14,25*AA19) +  R48</t>
  </si>
  <si>
    <t>753,07 - (10,83*AA18) + (6,5*AA20) + (14,1*AA19)</t>
  </si>
  <si>
    <t>581,47 - (10,83*AA18) + (8,3*AA20) + (14,94*AA19)</t>
  </si>
  <si>
    <t>1004,82 - (10,83*AA18) + (6,52*AA20) + (15,91*AA19)</t>
  </si>
  <si>
    <t>-517,88 - (10,83*AA18) + (15,61*AA20) + (19,11*AA19)</t>
  </si>
  <si>
    <t>584,9 - (7,01*AA18) + (5,72*AA20) + (11,71*AA19)</t>
  </si>
  <si>
    <t>575,77 - (7,01*AA18) + (6,6*AA20) + (12,14*AA19)</t>
  </si>
  <si>
    <t>710,25 - (7,01*AA18) + (6,54*AA20) + (12,34*AA19)</t>
  </si>
  <si>
    <t>511,83 - (7,01*AA18) + (9,07*AA20) + (12,56*AA19)</t>
  </si>
  <si>
    <t>-447,51 + (3,68*AA18) + (13,01*AA20) + (13,15*AA19)</t>
  </si>
  <si>
    <t>19,12 + (3,68*AA18) + (8,62*AA20) + (20,28*AA19)</t>
  </si>
  <si>
    <t>-388,19 + (3,68*AA18) + (12,66*AA20) + (20,46*AA19)</t>
  </si>
  <si>
    <t>-671,75 + (3,68*AA18) + (15,38*AA20) + (23,25*AA19)</t>
  </si>
  <si>
    <t>55,59 - (22,25*AA18) + (8,43*AA20) + (17,07*AA19)</t>
  </si>
  <si>
    <t>-297,54 - (22,25*AA18) + (12,77*AA20) + (14,73*AA19)</t>
  </si>
  <si>
    <t>-189,55 - (22,25*AA18) + (11,74*AA20) + (18,34*AA19)</t>
  </si>
  <si>
    <t>-709,59 - (22,25*AA18) + (18,22*AA20) + (14,25*AA19)</t>
  </si>
  <si>
    <t>-716,45 - (1*AA18) + (17,82*AA20) + (15,06*AA19)</t>
  </si>
  <si>
    <t>-69,15 + (80*AA18) + (2,65*AA20) + (54,15*AA19)</t>
  </si>
  <si>
    <t>1131,2 - (2,04*AA18) + (0,34*AA20) + (12,15*AA19)</t>
  </si>
  <si>
    <t>693,35 - (2,04*AA18) + (5,73*AA20) + (10,2*AA19)</t>
  </si>
  <si>
    <t>-223,84 - (2,04*AA18) + (13,23*AA20) + (8,15*AA19)</t>
  </si>
  <si>
    <t>-779,72 - (2,04*AA18) + (18,45*AA20) + (8,73*AA19)</t>
  </si>
  <si>
    <t>Nutriz</t>
  </si>
  <si>
    <t>MêsPósParto</t>
  </si>
  <si>
    <t>MesesPosParto</t>
  </si>
  <si>
    <t>Sexo:Feminino_Nutriz:Nao_Gestante:Sim_Idade:19≤_Atividade:Inativo_Tri:2ou3_MesPosParto:Nao</t>
  </si>
  <si>
    <t>Sexo:Feminino_Nutriz:Nao_Gestante:Sim_Idade:19≤_Atividade:Pouco ativo_Tri:2ou3_MesPosParto:Nao</t>
  </si>
  <si>
    <t>Sexo:Feminino_Nutriz:Nao_Gestante:Sim_Idade:19≤_Atividade:Ativo_Tri:2ou3_MesPosParto:Nao</t>
  </si>
  <si>
    <t>Sexo:Feminino_Nutriz:Nao_Gestante:Sim_Idade:19≤_Atividade:Muito ativo_Tri:2ou3_MesPosParto:Nao</t>
  </si>
  <si>
    <t>Sexo:Feminino_Nutriz:Nao_Gestante:Sim_Idade:19≤_Atividade:Inativo_Tri:1_MesPosParto:Nao</t>
  </si>
  <si>
    <t>Sexo:Feminino_Nutriz:Nao_Gestante:Sim_Idade:19≤_Atividade:Pouco ativo_Tri:1_MesPosParto:Nao</t>
  </si>
  <si>
    <t>Sexo:Feminino_Nutriz:Nao_Gestante:Sim_Idade:19≤_Atividade:Ativo_Tri:1_MesPosParto:Nao</t>
  </si>
  <si>
    <t>Sexo:Feminino_Nutriz:Nao_Gestante:Sim_Idade:19≤_Atividade:Muito ativo_Tri:1_MesPosParto:Nao</t>
  </si>
  <si>
    <t>Sexo:Feminino_Nutriz:Sim_Gestante:Nao_Idade:19≤_Atividade:Inativo_Tri:Nao_MesPosParto:0a6meses</t>
  </si>
  <si>
    <t>Sexo:Feminino_Nutriz:Sim_Gestante:Nao_Idade:19≤_Atividade:Pouco ativo_Tri:Nao_MesPosParto:0a6meses</t>
  </si>
  <si>
    <t>Sexo:Feminino_Nutriz:Sim_Gestante:Nao_Idade:19≤_Atividade:Ativo_Tri:Nao_MesPosParto:0a6meses</t>
  </si>
  <si>
    <t>Sexo:Feminino_Nutriz:Sim_Gestante:Nao_Idade:19≤_Atividade:Muito ativo_Tri:Nao_MesPosParto:0a6meses</t>
  </si>
  <si>
    <t>Sexo:Feminino_Nutriz:Sim_Gestante:Nao_Idade:&lt;19_Atividade:Inativo_Tri:Nao_MesPosParto:0a6meses</t>
  </si>
  <si>
    <t>Sexo:Feminino_Nutriz:Sim_Gestante:Nao_Idade:&lt;19_Atividade:Pouco ativo_Tri:Nao_MesPosParto:0a6meses</t>
  </si>
  <si>
    <t>Sexo:Feminino_Nutriz:Sim_Gestante:Nao_Idade:&lt;19_Atividade:Ativo_Tri:Nao_MesPosParto:0a6meses</t>
  </si>
  <si>
    <t>Sexo:Feminino_Nutriz:Sim_Gestante:Nao_Idade:&lt;19_Atividade:Muito ativo_Tri:Nao_MesPosParto:0a6meses</t>
  </si>
  <si>
    <t>Sexo:Feminino_Nutriz:Sim_Gestante:Nao_Idade:19≤_Atividade:Inativo_Tri:Nao_MesPosParto:7a12meses</t>
  </si>
  <si>
    <t>Sexo:Feminino_Nutriz:Sim_Gestante:Nao_Idade:19≤_Atividade:Pouco ativo_Tri:Nao_MesPosParto:7a12meses</t>
  </si>
  <si>
    <t>Sexo:Feminino_Nutriz:Sim_Gestante:Nao_Idade:19≤_Atividade:Ativo_Tri:Nao_MesPosParto:7a12meses</t>
  </si>
  <si>
    <t>Sexo:Feminino_Nutriz:Sim_Gestante:Nao_Idade:19≤_Atividade:Muito ativo_Tri:Nao_MesPosParto:7a12meses</t>
  </si>
  <si>
    <t>Sexo:Feminino_Nutriz:Sim_Gestante:Nao_Idade:&lt;19_Atividade:Inativo_Tri:Nao_MesPosParto:7a12meses</t>
  </si>
  <si>
    <t>Sexo:Feminino_Nutriz:Sim_Gestante:Nao_Idade:&lt;19_Atividade:Pouco ativo_Tri:Nao_MesPosParto:7a12meses</t>
  </si>
  <si>
    <t>Sexo:Feminino_Nutriz:Sim_Gestante:Nao_Idade:&lt;19_Atividade:Ativo_Tri:Nao_MesPosParto:7a12meses</t>
  </si>
  <si>
    <t>Sexo:Feminino_Nutriz:Sim_Gestante:Nao_Idade:&lt;19_Atividade:Muito ativo_Tri:Nao_MesPosParto:7a12meses</t>
  </si>
  <si>
    <t>Masculino</t>
  </si>
  <si>
    <t>Sexo:Masculino_Nutriz:Nao_Gestante:Nao_Idade:19≤_Atividade:Inativo_Tri:Nao_MesPosParto:Nao</t>
  </si>
  <si>
    <t>Sexo:Masculino_Nutriz:Nao_Gestante:Nao_Idade:19≤_Atividade:Pouco ativo_Tri:Nao_MesPosParto:Nao</t>
  </si>
  <si>
    <t>Sexo:Masculino_Nutriz:Nao_Gestante:Nao_Idade:19≤_Atividade:Ativo_Tri:Nao_MesPosParto:Nao</t>
  </si>
  <si>
    <t>Sexo:Masculino_Nutriz:Nao_Gestante:Nao_Idade:19≤_Atividade:Muito ativo_Tri:Nao_MesPosParto:Nao</t>
  </si>
  <si>
    <t>Sexo:Feminino_Nutriz:Nao_Gestante:Nao_Idade:19≤_Atividade:Inativo_Tri:Nao_MesPosParto:Nao</t>
  </si>
  <si>
    <t>Sexo:Feminino_Nutriz:Nao_Gestante:Nao_Idade:19≤_Atividade:Pouco ativo_Tri:Nao_MesPosParto:Nao</t>
  </si>
  <si>
    <t>Sexo:Feminino_Nutriz:Nao_Gestante:Nao_Idade:19≤_Atividade:Ativo_Tri:Nao_MesPosParto:Nao</t>
  </si>
  <si>
    <t>Sexo:Feminino_Nutriz:Nao_Gestante:Nao_Idade:19≤_Atividade:Muito ativo_Tri:Nao_MesPosParto:Nao</t>
  </si>
  <si>
    <t>Sexo:Masculino_Nutriz:Nao_Gestante:Nao_Idade:3a18_Atividade:Inativo_Tri:Nao_MesPosParto:Nao</t>
  </si>
  <si>
    <t>Sexo:Masculino_Nutriz:Nao_Gestante:Nao_Idade:3a18_Atividade:Pouco ativo_Tri:Nao_MesPosParto:Nao</t>
  </si>
  <si>
    <t>Sexo:Masculino_Nutriz:Nao_Gestante:Nao_Idade:3a18_Atividade:Ativo_Tri:Nao_MesPosParto:Nao</t>
  </si>
  <si>
    <t>Sexo:Masculino_Nutriz:Nao_Gestante:Nao_Idade:3a18_Atividade:Muito ativo_Tri:Nao_MesPosParto:Nao</t>
  </si>
  <si>
    <t>Sexo:Feminino_Nutriz:Nao_Gestante:Nao_Idade:3a18_Atividade:Inativo_Tri:Nao_MesPosParto:Nao</t>
  </si>
  <si>
    <t>Sexo:Feminino_Nutriz:Nao_Gestante:Nao_Idade:3a18_Atividade:Pouco ativo_Tri:Nao_MesPosParto:Nao</t>
  </si>
  <si>
    <t>Sexo:Feminino_Nutriz:Nao_Gestante:Nao_Idade:3a18_Atividade:Ativo_Tri:Nao_MesPosParto:Nao</t>
  </si>
  <si>
    <t>Sexo:Feminino_Nutriz:Nao_Gestante:Nao_Idade:3a18_Atividade:Muito ativo_Tri:Nao_MesPosParto:Nao</t>
  </si>
  <si>
    <t>Sexo:Masculino_Nutriz:Nao_Gestante:Nao_Idade:0a2_Atividade:Inativo_Tri:Nao_MesPosParto:Nao</t>
  </si>
  <si>
    <t>Sexo:Masculino_Nutriz:Nao_Gestante:Nao_Idade:0a2_Atividade:Pouco ativo_Tri:Nao_MesPosParto:Nao</t>
  </si>
  <si>
    <t>Sexo:Masculino_Nutriz:Nao_Gestante:Nao_Idade:0a2_Atividade:Ativo_Tri:Nao_MesPosParto:Nao</t>
  </si>
  <si>
    <t>Sexo:Masculino_Nutriz:Nao_Gestante:Nao_Idade:0a2_Atividade:Muito ativo_Tri:Nao_MesPosParto:Nao</t>
  </si>
  <si>
    <t>Sexo:Feminino_Nutriz:Nao_Gestante:Nao_Idade:0a2_Atividade:Inativo_Tri:Nao_MesPosParto:Nao</t>
  </si>
  <si>
    <t>Sexo:Feminino_Nutriz:Nao_Gestante:Nao_Idade:0a2_Atividade:Pouco ativo_Tri:Nao_MesPosParto:Nao</t>
  </si>
  <si>
    <t>Sexo:Feminino_Nutriz:Nao_Gestante:Nao_Idade:0a2_Atividade:Ativo_Tri:Nao_MesPosParto:Nao</t>
  </si>
  <si>
    <t>Sexo:Feminino_Nutriz:Nao_Gestante:Nao_Idade:0a2_Atividade:Muito ativo_Tri:Nao_MesPosParto:Nao</t>
  </si>
  <si>
    <t>Sexo:Feminino_Nutriz:Nao_Gestante:Sim_Idade:any_Atividade:Inativo_Tri:Nao_MesPosParto:Nao</t>
  </si>
  <si>
    <t>Sexo:Feminino_Nutriz:Nao_Gestante:Sim_Idade:any_Atividade:Pouco ativo_Tri:Nao_MesPosParto:Nao</t>
  </si>
  <si>
    <t>Sexo:Feminino_Nutriz:Nao_Gestante:Sim_Idade:any_Atividade:Ativo_Tri:Nao_MesPosParto:Nao</t>
  </si>
  <si>
    <t>Sexo:Feminino_Nutriz:Nao_Gestante:Sim_Idade:any_Atividade:Muito ativo_Tri:Nao_MesPosParto:Nao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</si>
</sst>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9">
    <font>
      <sz val="11"/>
      <color theme="1"/>
      <name val="Calibri"/>
      <family val="2"/>
      <scheme val="minor"/>
    </font>
    <font>
      <b/>
      <sz val="11"/>
      <color indexed="56"/>
      <name val="Calibri"/>
      <family val="2"/>
    </font>
    <font>
      <b/>
      <vertAlign val="superscript"/>
      <sz val="11"/>
      <color indexed="56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sz val="11"/>
      <color indexed="56"/>
      <name val="Calibri"/>
      <family val="2"/>
    </font>
    <font>
      <sz val="11"/>
      <color indexed="62"/>
      <name val="Calibri"/>
      <family val="2"/>
    </font>
    <font>
      <vertAlign val="superscript"/>
      <sz val="11"/>
      <color indexed="62"/>
      <name val="Calibri"/>
      <family val="2"/>
    </font>
    <font>
      <sz val="12"/>
      <color indexed="18"/>
      <name val="Cambria"/>
      <family val="1"/>
    </font>
    <font>
      <vertAlign val="superscript"/>
      <sz val="12"/>
      <color indexed="18"/>
      <name val="Cambria"/>
      <family val="1"/>
    </font>
    <font>
      <sz val="11"/>
      <color indexed="60"/>
      <name val="Calibri"/>
      <family val="2"/>
    </font>
    <font>
      <vertAlign val="superscript"/>
      <sz val="11"/>
      <color indexed="60"/>
      <name val="Calibri"/>
      <family val="2"/>
    </font>
    <font>
      <vertAlign val="superscript"/>
      <sz val="11"/>
      <color indexed="56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56"/>
      <name val="Cambria"/>
      <family val="2"/>
    </font>
    <font>
      <sz val="11"/>
      <color indexed="18"/>
      <name val="Calibri"/>
      <family val="2"/>
    </font>
    <font>
      <sz val="10"/>
      <color indexed="60"/>
      <name val="Calibri"/>
      <family val="2"/>
    </font>
    <font>
      <b/>
      <sz val="14"/>
      <color indexed="56"/>
      <name val="Cambria"/>
      <family val="1"/>
    </font>
    <font>
      <b/>
      <sz val="13"/>
      <color indexed="31"/>
      <name val="Calibri"/>
      <family val="2"/>
    </font>
    <font>
      <b/>
      <sz val="15"/>
      <color indexed="53"/>
      <name val="Calibri"/>
      <family val="2"/>
    </font>
    <font>
      <b/>
      <sz val="14"/>
      <color indexed="53"/>
      <name val="Cambria"/>
      <family val="1"/>
    </font>
    <font>
      <b/>
      <sz val="18"/>
      <color indexed="36"/>
      <name val="Cambria"/>
      <family val="2"/>
    </font>
    <font>
      <b/>
      <sz val="14"/>
      <color indexed="36"/>
      <name val="Cambria"/>
      <family val="1"/>
    </font>
    <font>
      <b/>
      <sz val="14"/>
      <name val="Cambria"/>
      <family val="1"/>
    </font>
    <font>
      <sz val="10"/>
      <color indexed="8"/>
      <name val="Calibri"/>
      <family val="2"/>
    </font>
    <font>
      <b/>
      <sz val="11"/>
      <color indexed="62"/>
      <name val="Cambria"/>
      <family val="2"/>
    </font>
    <font>
      <b/>
      <sz val="11"/>
      <color indexed="60"/>
      <name val="Cambria"/>
      <family val="2"/>
    </font>
    <font>
      <b/>
      <sz val="14"/>
      <color indexed="9"/>
      <name val="Cambria"/>
      <family val="1"/>
    </font>
    <font>
      <b/>
      <sz val="11"/>
      <color indexed="60"/>
      <name val="Calibri"/>
      <family val="2"/>
    </font>
    <font>
      <sz val="11"/>
      <color indexed="22"/>
      <name val="Calibri"/>
      <family val="2"/>
    </font>
    <font>
      <b/>
      <sz val="14"/>
      <color indexed="22"/>
      <name val="Cambria"/>
      <family val="1"/>
    </font>
    <font>
      <b/>
      <sz val="15"/>
      <color indexed="36"/>
      <name val="Calibri"/>
      <family val="2"/>
    </font>
    <font>
      <b/>
      <sz val="11"/>
      <color indexed="22"/>
      <name val="Cambria"/>
      <family val="2"/>
    </font>
    <font>
      <b/>
      <sz val="11"/>
      <color indexed="22"/>
      <name val="Calibri"/>
      <family val="2"/>
    </font>
    <font>
      <b/>
      <sz val="12"/>
      <name val="Calibri"/>
      <family val="2"/>
    </font>
    <font>
      <sz val="12"/>
      <color indexed="8"/>
      <name val="Calibri"/>
      <family val="2"/>
    </font>
    <font>
      <sz val="11"/>
      <color indexed="36"/>
      <name val="Calibri"/>
      <family val="2"/>
    </font>
    <font>
      <sz val="11"/>
      <color indexed="62"/>
      <name val="Cambria"/>
      <family val="2"/>
    </font>
    <font>
      <sz val="11"/>
      <color indexed="56"/>
      <name val="Cambria"/>
      <family val="2"/>
    </font>
    <font>
      <sz val="10"/>
      <name val="Calibri"/>
      <family val="2"/>
    </font>
    <font>
      <b/>
      <sz val="14"/>
      <color indexed="60"/>
      <name val="Cambria"/>
      <family val="1"/>
    </font>
    <font>
      <sz val="12"/>
      <color indexed="60"/>
      <name val="Cambria"/>
      <family val="1"/>
    </font>
    <font>
      <b/>
      <sz val="12"/>
      <color indexed="60"/>
      <name val="Cambria"/>
      <family val="1"/>
    </font>
    <font>
      <b/>
      <sz val="13"/>
      <color indexed="18"/>
      <name val="Calibri"/>
      <family val="2"/>
    </font>
    <font>
      <sz val="8"/>
      <name val="Calibri"/>
      <family val="2"/>
    </font>
    <font>
      <vertAlign val="superscript"/>
      <sz val="11"/>
      <color indexed="9"/>
      <name val="Calibri"/>
      <family val="2"/>
    </font>
    <font>
      <b/>
      <sz val="11"/>
      <color indexed="9"/>
      <name val="Cambria"/>
      <family val="2"/>
    </font>
    <font>
      <b/>
      <sz val="11"/>
      <name val="Cambria"/>
      <family val="2"/>
    </font>
    <font>
      <b/>
      <sz val="11"/>
      <name val="Calibri"/>
      <family val="2"/>
    </font>
    <font>
      <b/>
      <u/>
      <sz val="11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</font>
    <font>
      <b/>
      <sz val="11"/>
      <color theme="3"/>
      <name val="Cambria"/>
      <family val="1"/>
      <scheme val="major"/>
    </font>
    <font>
      <b/>
      <sz val="12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 (Body)"/>
    </font>
    <font>
      <sz val="8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31"/>
        <bgColor indexed="31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6"/>
        <bgColor indexed="44"/>
      </patternFill>
    </fill>
    <fill>
      <patternFill patternType="solid">
        <fgColor indexed="46"/>
        <bgColor indexed="31"/>
      </patternFill>
    </fill>
    <fill>
      <patternFill patternType="solid">
        <fgColor indexed="2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C000"/>
        <bgColor indexed="44"/>
      </patternFill>
    </fill>
    <fill>
      <patternFill patternType="solid">
        <fgColor rgb="FFFFC000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9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double">
        <color indexed="64"/>
      </left>
      <right/>
      <top style="thin">
        <color indexed="9"/>
      </top>
      <bottom/>
      <diagonal/>
    </border>
    <border>
      <left style="thick">
        <color indexed="4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44"/>
      </left>
      <right style="thin">
        <color indexed="9"/>
      </right>
      <top/>
      <bottom style="thick">
        <color indexed="44"/>
      </bottom>
      <diagonal/>
    </border>
    <border>
      <left style="double">
        <color indexed="60"/>
      </left>
      <right/>
      <top style="double">
        <color indexed="60"/>
      </top>
      <bottom style="double">
        <color indexed="60"/>
      </bottom>
      <diagonal/>
    </border>
    <border>
      <left style="double">
        <color indexed="36"/>
      </left>
      <right/>
      <top style="double">
        <color indexed="36"/>
      </top>
      <bottom style="double">
        <color indexed="36"/>
      </bottom>
      <diagonal/>
    </border>
    <border>
      <left/>
      <right/>
      <top style="thick">
        <color indexed="44"/>
      </top>
      <bottom style="thick">
        <color indexed="10"/>
      </bottom>
      <diagonal/>
    </border>
    <border>
      <left style="thick">
        <color indexed="10"/>
      </left>
      <right style="thin">
        <color indexed="9"/>
      </right>
      <top style="thick">
        <color indexed="10"/>
      </top>
      <bottom style="thick">
        <color indexed="10"/>
      </bottom>
      <diagonal/>
    </border>
    <border>
      <left/>
      <right/>
      <top style="double">
        <color indexed="60"/>
      </top>
      <bottom style="double">
        <color indexed="60"/>
      </bottom>
      <diagonal/>
    </border>
    <border>
      <left/>
      <right style="double">
        <color indexed="60"/>
      </right>
      <top style="double">
        <color indexed="60"/>
      </top>
      <bottom style="double">
        <color indexed="60"/>
      </bottom>
      <diagonal/>
    </border>
    <border>
      <left style="double">
        <color indexed="60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0"/>
      </left>
      <right/>
      <top/>
      <bottom style="double">
        <color indexed="60"/>
      </bottom>
      <diagonal/>
    </border>
    <border>
      <left/>
      <right/>
      <top/>
      <bottom style="double">
        <color indexed="60"/>
      </bottom>
      <diagonal/>
    </border>
    <border>
      <left style="double">
        <color indexed="60"/>
      </left>
      <right/>
      <top style="double">
        <color indexed="60"/>
      </top>
      <bottom/>
      <diagonal/>
    </border>
    <border>
      <left/>
      <right/>
      <top style="double">
        <color indexed="6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36"/>
      </left>
      <right/>
      <top/>
      <bottom/>
      <diagonal/>
    </border>
    <border>
      <left/>
      <right style="thick">
        <color indexed="44"/>
      </right>
      <top style="thin">
        <color indexed="9"/>
      </top>
      <bottom style="thick">
        <color indexed="4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0"/>
      </bottom>
      <diagonal/>
    </border>
    <border>
      <left/>
      <right style="double">
        <color indexed="60"/>
      </right>
      <top/>
      <bottom style="double">
        <color indexed="60"/>
      </bottom>
      <diagonal/>
    </border>
    <border>
      <left/>
      <right style="double">
        <color indexed="36"/>
      </right>
      <top/>
      <bottom style="double">
        <color indexed="36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44"/>
      </right>
      <top style="thin">
        <color indexed="9"/>
      </top>
      <bottom style="thin">
        <color indexed="9"/>
      </bottom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  <border>
      <left/>
      <right style="double">
        <color indexed="64"/>
      </right>
      <top style="thin">
        <color indexed="9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0"/>
      </right>
      <top style="double">
        <color indexed="60"/>
      </top>
      <bottom/>
      <diagonal/>
    </border>
    <border>
      <left/>
      <right style="double">
        <color indexed="60"/>
      </right>
      <top/>
      <bottom/>
      <diagonal/>
    </border>
    <border>
      <left/>
      <right style="double">
        <color indexed="36"/>
      </right>
      <top/>
      <bottom/>
      <diagonal/>
    </border>
    <border>
      <left/>
      <right style="double">
        <color indexed="36"/>
      </right>
      <top style="double">
        <color indexed="36"/>
      </top>
      <bottom style="double">
        <color indexed="3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thick">
        <color indexed="31"/>
      </top>
      <bottom style="thick">
        <color indexed="3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31"/>
      </bottom>
      <diagonal/>
    </border>
    <border>
      <left style="double">
        <color indexed="36"/>
      </left>
      <right/>
      <top style="double">
        <color indexed="36"/>
      </top>
      <bottom/>
      <diagonal/>
    </border>
    <border>
      <left/>
      <right/>
      <top style="double">
        <color indexed="36"/>
      </top>
      <bottom/>
      <diagonal/>
    </border>
    <border>
      <left/>
      <right style="double">
        <color indexed="36"/>
      </right>
      <top style="double">
        <color indexed="36"/>
      </top>
      <bottom/>
      <diagonal/>
    </border>
    <border>
      <left style="double">
        <color indexed="36"/>
      </left>
      <right/>
      <top/>
      <bottom style="double">
        <color indexed="36"/>
      </bottom>
      <diagonal/>
    </border>
    <border>
      <left/>
      <right/>
      <top/>
      <bottom style="double">
        <color indexed="36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44"/>
      </left>
      <right/>
      <top style="thick">
        <color indexed="44"/>
      </top>
      <bottom/>
      <diagonal/>
    </border>
    <border>
      <left/>
      <right style="thick">
        <color indexed="44"/>
      </right>
      <top style="thick">
        <color indexed="44"/>
      </top>
      <bottom/>
      <diagonal/>
    </border>
    <border>
      <left/>
      <right/>
      <top/>
      <bottom style="medium">
        <color indexed="53"/>
      </bottom>
      <diagonal/>
    </border>
    <border>
      <left/>
      <right/>
      <top style="medium">
        <color indexed="53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53" fillId="0" borderId="0" applyNumberFormat="0" applyFill="0" applyBorder="0" applyAlignment="0" applyProtection="0"/>
    <xf numFmtId="0" fontId="54" fillId="0" borderId="56" applyNumberFormat="0" applyFill="0" applyAlignment="0" applyProtection="0"/>
    <xf numFmtId="0" fontId="55" fillId="0" borderId="57" applyNumberFormat="0" applyFill="0" applyAlignment="0" applyProtection="0"/>
    <xf numFmtId="0" fontId="56" fillId="0" borderId="58" applyNumberFormat="0" applyFill="0" applyAlignment="0" applyProtection="0"/>
  </cellStyleXfs>
  <cellXfs count="266">
    <xf numFmtId="0" fontId="0" fillId="0" borderId="0" xfId="0"/>
    <xf numFmtId="2" fontId="0" fillId="0" borderId="0" xfId="0" applyNumberFormat="1"/>
    <xf numFmtId="0" fontId="53" fillId="0" borderId="0" xfId="1" applyAlignment="1">
      <alignment horizontal="center"/>
    </xf>
    <xf numFmtId="0" fontId="17" fillId="0" borderId="0" xfId="1" applyFont="1" applyAlignment="1">
      <alignment horizontal="center"/>
    </xf>
    <xf numFmtId="0" fontId="54" fillId="0" borderId="0" xfId="2" applyBorder="1" applyAlignment="1">
      <alignment horizontal="center"/>
    </xf>
    <xf numFmtId="0" fontId="56" fillId="2" borderId="58" xfId="4" applyFill="1" applyAlignment="1">
      <alignment horizontal="center" vertical="center"/>
    </xf>
    <xf numFmtId="0" fontId="19" fillId="0" borderId="0" xfId="0" applyFont="1"/>
    <xf numFmtId="0" fontId="0" fillId="3" borderId="2" xfId="0" applyFill="1" applyBorder="1"/>
    <xf numFmtId="0" fontId="0" fillId="4" borderId="2" xfId="0" applyFill="1" applyBorder="1"/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53" fillId="0" borderId="0" xfId="1" applyBorder="1" applyAlignment="1">
      <alignment horizontal="center"/>
    </xf>
    <xf numFmtId="0" fontId="27" fillId="0" borderId="0" xfId="0" applyFont="1"/>
    <xf numFmtId="1" fontId="0" fillId="0" borderId="0" xfId="0" applyNumberFormat="1"/>
    <xf numFmtId="0" fontId="32" fillId="8" borderId="0" xfId="0" applyFont="1" applyFill="1"/>
    <xf numFmtId="0" fontId="32" fillId="8" borderId="7" xfId="0" applyFont="1" applyFill="1" applyBorder="1"/>
    <xf numFmtId="0" fontId="32" fillId="9" borderId="0" xfId="0" applyFont="1" applyFill="1"/>
    <xf numFmtId="0" fontId="0" fillId="10" borderId="2" xfId="0" applyFill="1" applyBorder="1"/>
    <xf numFmtId="0" fontId="0" fillId="11" borderId="2" xfId="0" applyFill="1" applyBorder="1"/>
    <xf numFmtId="0" fontId="54" fillId="0" borderId="0" xfId="2" applyBorder="1" applyAlignment="1"/>
    <xf numFmtId="0" fontId="37" fillId="12" borderId="9" xfId="0" applyFont="1" applyFill="1" applyBorder="1" applyAlignment="1">
      <alignment horizontal="center" vertical="center"/>
    </xf>
    <xf numFmtId="0" fontId="14" fillId="13" borderId="0" xfId="1" applyFont="1" applyFill="1" applyAlignment="1">
      <alignment horizontal="center"/>
    </xf>
    <xf numFmtId="0" fontId="16" fillId="0" borderId="0" xfId="0" applyFont="1"/>
    <xf numFmtId="0" fontId="5" fillId="14" borderId="0" xfId="0" applyFont="1" applyFill="1"/>
    <xf numFmtId="0" fontId="40" fillId="14" borderId="0" xfId="1" applyFont="1" applyFill="1" applyBorder="1" applyAlignment="1">
      <alignment horizontal="center"/>
    </xf>
    <xf numFmtId="0" fontId="41" fillId="14" borderId="0" xfId="1" applyFont="1" applyFill="1" applyAlignment="1">
      <alignment horizontal="center"/>
    </xf>
    <xf numFmtId="0" fontId="42" fillId="0" borderId="0" xfId="0" applyFont="1" applyAlignment="1">
      <alignment horizontal="center"/>
    </xf>
    <xf numFmtId="0" fontId="30" fillId="5" borderId="6" xfId="1" applyFont="1" applyFill="1" applyBorder="1" applyAlignment="1">
      <alignment horizontal="center"/>
    </xf>
    <xf numFmtId="0" fontId="30" fillId="5" borderId="10" xfId="1" applyFont="1" applyFill="1" applyBorder="1" applyAlignment="1">
      <alignment horizontal="center"/>
    </xf>
    <xf numFmtId="0" fontId="30" fillId="5" borderId="11" xfId="1" applyFont="1" applyFill="1" applyBorder="1" applyAlignment="1">
      <alignment horizontal="center"/>
    </xf>
    <xf numFmtId="0" fontId="36" fillId="8" borderId="0" xfId="4" applyFont="1" applyFill="1" applyBorder="1" applyAlignment="1">
      <alignment horizontal="center"/>
    </xf>
    <xf numFmtId="0" fontId="31" fillId="0" borderId="0" xfId="4" applyFont="1" applyFill="1" applyBorder="1" applyAlignment="1"/>
    <xf numFmtId="0" fontId="31" fillId="0" borderId="0" xfId="0" applyFont="1" applyAlignment="1">
      <alignment horizontal="center"/>
    </xf>
    <xf numFmtId="0" fontId="10" fillId="0" borderId="0" xfId="0" applyFont="1"/>
    <xf numFmtId="0" fontId="0" fillId="15" borderId="0" xfId="0" applyFill="1"/>
    <xf numFmtId="0" fontId="22" fillId="5" borderId="0" xfId="2" applyFont="1" applyFill="1" applyBorder="1" applyAlignment="1">
      <alignment horizontal="center"/>
    </xf>
    <xf numFmtId="0" fontId="39" fillId="0" borderId="0" xfId="0" applyFont="1" applyAlignment="1">
      <alignment horizontal="justify" wrapText="1"/>
    </xf>
    <xf numFmtId="0" fontId="39" fillId="0" borderId="0" xfId="0" applyFont="1"/>
    <xf numFmtId="0" fontId="5" fillId="2" borderId="13" xfId="0" applyFont="1" applyFill="1" applyBorder="1"/>
    <xf numFmtId="0" fontId="36" fillId="8" borderId="0" xfId="4" applyFont="1" applyFill="1" applyBorder="1" applyAlignment="1">
      <alignment horizontal="left"/>
    </xf>
    <xf numFmtId="0" fontId="22" fillId="5" borderId="0" xfId="2" applyFont="1" applyFill="1" applyBorder="1" applyAlignment="1">
      <alignment horizontal="left"/>
    </xf>
    <xf numFmtId="0" fontId="10" fillId="0" borderId="0" xfId="0" applyFont="1" applyAlignment="1">
      <alignment horizontal="left"/>
    </xf>
    <xf numFmtId="0" fontId="10" fillId="6" borderId="16" xfId="0" applyFont="1" applyFill="1" applyBorder="1" applyAlignment="1">
      <alignment horizontal="left"/>
    </xf>
    <xf numFmtId="0" fontId="55" fillId="0" borderId="18" xfId="3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0" borderId="18" xfId="0" applyBorder="1"/>
    <xf numFmtId="0" fontId="0" fillId="15" borderId="18" xfId="0" applyFill="1" applyBorder="1" applyAlignment="1">
      <alignment horizontal="center"/>
    </xf>
    <xf numFmtId="0" fontId="0" fillId="6" borderId="18" xfId="0" applyFill="1" applyBorder="1" applyAlignment="1">
      <alignment horizontal="center"/>
    </xf>
    <xf numFmtId="0" fontId="0" fillId="18" borderId="18" xfId="0" applyFill="1" applyBorder="1" applyAlignment="1">
      <alignment horizontal="center"/>
    </xf>
    <xf numFmtId="0" fontId="46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3" fillId="16" borderId="18" xfId="0" applyFont="1" applyFill="1" applyBorder="1" applyAlignment="1">
      <alignment horizontal="center"/>
    </xf>
    <xf numFmtId="0" fontId="13" fillId="17" borderId="18" xfId="0" applyFont="1" applyFill="1" applyBorder="1" applyAlignment="1">
      <alignment horizontal="center"/>
    </xf>
    <xf numFmtId="0" fontId="13" fillId="8" borderId="18" xfId="0" applyFont="1" applyFill="1" applyBorder="1" applyAlignment="1">
      <alignment horizontal="center"/>
    </xf>
    <xf numFmtId="1" fontId="0" fillId="15" borderId="0" xfId="0" applyNumberFormat="1" applyFill="1"/>
    <xf numFmtId="164" fontId="28" fillId="0" borderId="21" xfId="0" applyNumberFormat="1" applyFont="1" applyBorder="1" applyAlignment="1">
      <alignment horizontal="center"/>
    </xf>
    <xf numFmtId="164" fontId="29" fillId="6" borderId="22" xfId="0" applyNumberFormat="1" applyFont="1" applyFill="1" applyBorder="1" applyAlignment="1">
      <alignment horizontal="center"/>
    </xf>
    <xf numFmtId="164" fontId="29" fillId="6" borderId="23" xfId="1" applyNumberFormat="1" applyFont="1" applyFill="1" applyBorder="1" applyAlignment="1">
      <alignment horizontal="center"/>
    </xf>
    <xf numFmtId="164" fontId="49" fillId="8" borderId="24" xfId="1" applyNumberFormat="1" applyFont="1" applyFill="1" applyBorder="1" applyAlignment="1">
      <alignment horizontal="center"/>
    </xf>
    <xf numFmtId="164" fontId="17" fillId="0" borderId="25" xfId="1" applyNumberFormat="1" applyFont="1" applyBorder="1" applyAlignment="1">
      <alignment horizontal="center"/>
    </xf>
    <xf numFmtId="0" fontId="0" fillId="26" borderId="2" xfId="0" applyFill="1" applyBorder="1"/>
    <xf numFmtId="0" fontId="0" fillId="27" borderId="2" xfId="0" applyFill="1" applyBorder="1"/>
    <xf numFmtId="1" fontId="0" fillId="28" borderId="0" xfId="0" applyNumberFormat="1" applyFill="1"/>
    <xf numFmtId="1" fontId="57" fillId="29" borderId="0" xfId="1" applyNumberFormat="1" applyFont="1" applyFill="1" applyAlignment="1">
      <alignment horizontal="center"/>
    </xf>
    <xf numFmtId="0" fontId="5" fillId="14" borderId="0" xfId="1" applyNumberFormat="1" applyFont="1" applyFill="1" applyAlignment="1">
      <alignment horizontal="left"/>
    </xf>
    <xf numFmtId="0" fontId="10" fillId="5" borderId="6" xfId="0" applyFont="1" applyFill="1" applyBorder="1"/>
    <xf numFmtId="0" fontId="50" fillId="2" borderId="26" xfId="1" applyFont="1" applyFill="1" applyBorder="1" applyAlignment="1" applyProtection="1">
      <alignment horizontal="center"/>
      <protection locked="0"/>
    </xf>
    <xf numFmtId="0" fontId="50" fillId="0" borderId="26" xfId="1" applyFont="1" applyBorder="1" applyAlignment="1" applyProtection="1">
      <alignment horizontal="center"/>
      <protection locked="0"/>
    </xf>
    <xf numFmtId="0" fontId="14" fillId="13" borderId="0" xfId="1" applyFont="1" applyFill="1" applyAlignment="1" applyProtection="1">
      <alignment horizontal="center"/>
      <protection locked="0"/>
    </xf>
    <xf numFmtId="0" fontId="57" fillId="29" borderId="0" xfId="1" applyFont="1" applyFill="1" applyAlignment="1" applyProtection="1">
      <alignment horizontal="center"/>
      <protection locked="0"/>
    </xf>
    <xf numFmtId="0" fontId="0" fillId="0" borderId="18" xfId="0" applyBorder="1" applyProtection="1">
      <protection locked="0"/>
    </xf>
    <xf numFmtId="0" fontId="28" fillId="2" borderId="28" xfId="1" applyFont="1" applyFill="1" applyBorder="1" applyAlignment="1" applyProtection="1">
      <alignment horizontal="center"/>
      <protection locked="0"/>
    </xf>
    <xf numFmtId="0" fontId="28" fillId="0" borderId="21" xfId="1" applyFont="1" applyBorder="1" applyAlignment="1" applyProtection="1">
      <alignment horizontal="center"/>
      <protection locked="0"/>
    </xf>
    <xf numFmtId="0" fontId="28" fillId="2" borderId="21" xfId="1" applyFont="1" applyFill="1" applyBorder="1" applyAlignment="1" applyProtection="1">
      <alignment horizontal="center"/>
      <protection locked="0"/>
    </xf>
    <xf numFmtId="0" fontId="28" fillId="2" borderId="29" xfId="1" applyFont="1" applyFill="1" applyBorder="1" applyAlignment="1" applyProtection="1">
      <alignment horizontal="center"/>
      <protection locked="0"/>
    </xf>
    <xf numFmtId="0" fontId="13" fillId="20" borderId="30" xfId="0" applyFont="1" applyFill="1" applyBorder="1" applyProtection="1">
      <protection locked="0"/>
    </xf>
    <xf numFmtId="0" fontId="43" fillId="0" borderId="31" xfId="1" applyFont="1" applyFill="1" applyBorder="1" applyAlignment="1" applyProtection="1">
      <protection locked="0"/>
    </xf>
    <xf numFmtId="0" fontId="29" fillId="6" borderId="21" xfId="1" applyFont="1" applyFill="1" applyBorder="1" applyAlignment="1" applyProtection="1">
      <alignment horizontal="center"/>
      <protection locked="0"/>
    </xf>
    <xf numFmtId="0" fontId="29" fillId="0" borderId="0" xfId="1" applyFont="1" applyFill="1" applyBorder="1" applyAlignment="1" applyProtection="1">
      <alignment horizontal="center"/>
      <protection locked="0"/>
    </xf>
    <xf numFmtId="0" fontId="29" fillId="6" borderId="32" xfId="1" applyFont="1" applyFill="1" applyBorder="1" applyAlignment="1" applyProtection="1">
      <alignment horizontal="center"/>
      <protection locked="0"/>
    </xf>
    <xf numFmtId="0" fontId="29" fillId="0" borderId="32" xfId="1" applyFont="1" applyFill="1" applyBorder="1" applyAlignment="1" applyProtection="1">
      <alignment horizontal="center"/>
      <protection locked="0"/>
    </xf>
    <xf numFmtId="0" fontId="29" fillId="6" borderId="31" xfId="1" applyFont="1" applyFill="1" applyBorder="1" applyAlignment="1" applyProtection="1">
      <alignment horizontal="center"/>
      <protection locked="0"/>
    </xf>
    <xf numFmtId="0" fontId="0" fillId="0" borderId="32" xfId="0" applyBorder="1" applyProtection="1">
      <protection locked="0"/>
    </xf>
    <xf numFmtId="0" fontId="49" fillId="21" borderId="33" xfId="1" applyFont="1" applyFill="1" applyBorder="1" applyAlignment="1" applyProtection="1">
      <alignment horizontal="center"/>
      <protection locked="0"/>
    </xf>
    <xf numFmtId="0" fontId="50" fillId="0" borderId="33" xfId="1" applyFont="1" applyBorder="1" applyAlignment="1" applyProtection="1">
      <alignment horizontal="center"/>
      <protection locked="0"/>
    </xf>
    <xf numFmtId="0" fontId="50" fillId="0" borderId="33" xfId="1" applyFont="1" applyFill="1" applyBorder="1" applyAlignment="1" applyProtection="1">
      <alignment horizontal="center"/>
      <protection locked="0"/>
    </xf>
    <xf numFmtId="0" fontId="35" fillId="9" borderId="34" xfId="1" applyFont="1" applyFill="1" applyBorder="1" applyAlignment="1" applyProtection="1">
      <alignment horizontal="center"/>
      <protection locked="0"/>
    </xf>
    <xf numFmtId="0" fontId="17" fillId="21" borderId="33" xfId="1" applyFont="1" applyFill="1" applyBorder="1" applyAlignment="1" applyProtection="1">
      <alignment horizontal="center"/>
      <protection locked="0"/>
    </xf>
    <xf numFmtId="0" fontId="17" fillId="0" borderId="33" xfId="1" applyFont="1" applyBorder="1" applyAlignment="1" applyProtection="1">
      <alignment horizontal="center"/>
      <protection locked="0"/>
    </xf>
    <xf numFmtId="1" fontId="17" fillId="21" borderId="24" xfId="1" applyNumberFormat="1" applyFont="1" applyFill="1" applyBorder="1" applyAlignment="1" applyProtection="1">
      <alignment horizontal="center"/>
      <protection locked="0"/>
    </xf>
    <xf numFmtId="0" fontId="58" fillId="0" borderId="0" xfId="1" applyFont="1" applyAlignment="1" applyProtection="1">
      <alignment horizontal="left"/>
      <protection locked="0"/>
    </xf>
    <xf numFmtId="0" fontId="59" fillId="0" borderId="0" xfId="1" applyFont="1" applyAlignment="1" applyProtection="1">
      <alignment horizontal="left"/>
      <protection locked="0"/>
    </xf>
    <xf numFmtId="0" fontId="1" fillId="19" borderId="0" xfId="1" applyFont="1" applyFill="1" applyAlignment="1" applyProtection="1">
      <alignment horizontal="center"/>
      <protection locked="0"/>
    </xf>
    <xf numFmtId="0" fontId="0" fillId="0" borderId="35" xfId="0" applyBorder="1" applyAlignment="1">
      <alignment horizontal="center"/>
    </xf>
    <xf numFmtId="0" fontId="60" fillId="0" borderId="0" xfId="0" applyFont="1" applyAlignment="1">
      <alignment horizontal="center"/>
    </xf>
    <xf numFmtId="0" fontId="0" fillId="31" borderId="0" xfId="0" applyFill="1" applyAlignment="1">
      <alignment horizontal="center"/>
    </xf>
    <xf numFmtId="2" fontId="0" fillId="0" borderId="0" xfId="0" applyNumberFormat="1" applyAlignment="1">
      <alignment horizontal="center"/>
    </xf>
    <xf numFmtId="0" fontId="61" fillId="0" borderId="0" xfId="0" applyFont="1" applyAlignment="1">
      <alignment horizontal="center"/>
    </xf>
    <xf numFmtId="0" fontId="0" fillId="33" borderId="0" xfId="0" applyFill="1" applyAlignment="1">
      <alignment horizontal="center"/>
    </xf>
    <xf numFmtId="0" fontId="60" fillId="33" borderId="0" xfId="0" applyFont="1" applyFill="1" applyAlignment="1">
      <alignment horizontal="center"/>
    </xf>
    <xf numFmtId="0" fontId="0" fillId="33" borderId="0" xfId="0" applyFill="1"/>
    <xf numFmtId="0" fontId="61" fillId="33" borderId="0" xfId="0" applyFont="1" applyFill="1" applyAlignment="1">
      <alignment horizontal="center"/>
    </xf>
    <xf numFmtId="2" fontId="0" fillId="33" borderId="0" xfId="0" applyNumberForma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59" xfId="0" applyBorder="1"/>
    <xf numFmtId="0" fontId="0" fillId="0" borderId="59" xfId="0" applyBorder="1" applyAlignment="1">
      <alignment horizontal="center"/>
    </xf>
    <xf numFmtId="0" fontId="0" fillId="0" borderId="60" xfId="0" applyBorder="1"/>
    <xf numFmtId="0" fontId="0" fillId="0" borderId="61" xfId="0" applyBorder="1"/>
    <xf numFmtId="0" fontId="0" fillId="0" borderId="62" xfId="0" applyBorder="1"/>
    <xf numFmtId="0" fontId="0" fillId="0" borderId="68" xfId="0" applyBorder="1"/>
    <xf numFmtId="0" fontId="63" fillId="31" borderId="59" xfId="0" applyFont="1" applyFill="1" applyBorder="1" applyAlignment="1">
      <alignment horizontal="center"/>
    </xf>
    <xf numFmtId="0" fontId="63" fillId="0" borderId="59" xfId="0" applyFont="1" applyBorder="1"/>
    <xf numFmtId="0" fontId="63" fillId="0" borderId="59" xfId="0" applyFont="1" applyBorder="1" applyAlignment="1">
      <alignment horizontal="center"/>
    </xf>
    <xf numFmtId="0" fontId="63" fillId="0" borderId="59" xfId="0" applyFont="1" applyBorder="1" applyAlignment="1">
      <alignment horizontal="center" vertical="center"/>
    </xf>
    <xf numFmtId="0" fontId="64" fillId="34" borderId="59" xfId="0" applyFont="1" applyFill="1" applyBorder="1" applyAlignment="1">
      <alignment horizontal="center" vertical="center"/>
    </xf>
    <xf numFmtId="0" fontId="65" fillId="0" borderId="59" xfId="0" applyFont="1" applyBorder="1" applyAlignment="1">
      <alignment horizontal="center"/>
    </xf>
    <xf numFmtId="0" fontId="66" fillId="32" borderId="59" xfId="0" applyFont="1" applyFill="1" applyBorder="1" applyAlignment="1">
      <alignment horizontal="center"/>
    </xf>
    <xf numFmtId="0" fontId="66" fillId="0" borderId="59" xfId="0" applyFont="1" applyBorder="1"/>
    <xf numFmtId="0" fontId="66" fillId="36" borderId="59" xfId="0" applyFont="1" applyFill="1" applyBorder="1" applyAlignment="1">
      <alignment horizontal="center"/>
    </xf>
    <xf numFmtId="0" fontId="63" fillId="37" borderId="59" xfId="0" applyFont="1" applyFill="1" applyBorder="1" applyAlignment="1">
      <alignment horizontal="center"/>
    </xf>
    <xf numFmtId="164" fontId="63" fillId="37" borderId="59" xfId="0" applyNumberFormat="1" applyFont="1" applyFill="1" applyBorder="1" applyAlignment="1">
      <alignment horizontal="center"/>
    </xf>
    <xf numFmtId="0" fontId="66" fillId="38" borderId="59" xfId="0" applyFont="1" applyFill="1" applyBorder="1" applyAlignment="1">
      <alignment horizontal="center"/>
    </xf>
    <xf numFmtId="0" fontId="63" fillId="39" borderId="59" xfId="0" applyFont="1" applyFill="1" applyBorder="1" applyAlignment="1">
      <alignment horizontal="center" vertical="center"/>
    </xf>
    <xf numFmtId="1" fontId="63" fillId="39" borderId="59" xfId="0" applyNumberFormat="1" applyFont="1" applyFill="1" applyBorder="1" applyAlignment="1">
      <alignment horizontal="center" vertical="center"/>
    </xf>
    <xf numFmtId="0" fontId="63" fillId="35" borderId="59" xfId="0" applyFont="1" applyFill="1" applyBorder="1" applyAlignment="1" applyProtection="1">
      <alignment horizontal="center"/>
      <protection locked="0"/>
    </xf>
    <xf numFmtId="0" fontId="10" fillId="6" borderId="0" xfId="0" applyFont="1" applyFill="1" applyAlignment="1">
      <alignment horizontal="left"/>
    </xf>
    <xf numFmtId="0" fontId="5" fillId="2" borderId="3" xfId="0" applyFont="1" applyFill="1" applyBorder="1"/>
    <xf numFmtId="0" fontId="5" fillId="0" borderId="1" xfId="0" applyFont="1" applyBorder="1"/>
    <xf numFmtId="0" fontId="5" fillId="2" borderId="1" xfId="0" applyFont="1" applyFill="1" applyBorder="1"/>
    <xf numFmtId="0" fontId="6" fillId="0" borderId="1" xfId="0" applyFont="1" applyBorder="1"/>
    <xf numFmtId="0" fontId="1" fillId="14" borderId="0" xfId="1" applyFont="1" applyFill="1" applyAlignment="1">
      <alignment horizontal="center"/>
    </xf>
    <xf numFmtId="0" fontId="1" fillId="0" borderId="0" xfId="1" applyFont="1" applyAlignment="1">
      <alignment horizontal="center"/>
    </xf>
    <xf numFmtId="0" fontId="10" fillId="6" borderId="12" xfId="0" applyFont="1" applyFill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0" fillId="6" borderId="14" xfId="0" applyFont="1" applyFill="1" applyBorder="1" applyAlignment="1">
      <alignment horizontal="left"/>
    </xf>
    <xf numFmtId="0" fontId="10" fillId="6" borderId="15" xfId="0" applyFont="1" applyFill="1" applyBorder="1" applyAlignment="1">
      <alignment horizontal="left"/>
    </xf>
    <xf numFmtId="0" fontId="10" fillId="5" borderId="0" xfId="0" applyFont="1" applyFill="1"/>
    <xf numFmtId="0" fontId="10" fillId="7" borderId="11" xfId="0" applyFont="1" applyFill="1" applyBorder="1" applyProtection="1">
      <protection locked="0"/>
    </xf>
    <xf numFmtId="0" fontId="10" fillId="7" borderId="0" xfId="0" applyFont="1" applyFill="1" applyAlignment="1">
      <alignment horizontal="center"/>
    </xf>
    <xf numFmtId="0" fontId="10" fillId="7" borderId="0" xfId="0" applyFont="1" applyFill="1"/>
    <xf numFmtId="0" fontId="10" fillId="0" borderId="0" xfId="4" applyFont="1" applyFill="1" applyBorder="1" applyAlignment="1">
      <alignment horizontal="center"/>
    </xf>
    <xf numFmtId="0" fontId="10" fillId="0" borderId="0" xfId="4" applyFont="1" applyFill="1" applyBorder="1"/>
    <xf numFmtId="0" fontId="10" fillId="6" borderId="0" xfId="0" applyFont="1" applyFill="1" applyAlignment="1">
      <alignment horizontal="center"/>
    </xf>
    <xf numFmtId="0" fontId="10" fillId="6" borderId="0" xfId="0" applyFont="1" applyFill="1"/>
    <xf numFmtId="0" fontId="10" fillId="6" borderId="17" xfId="0" applyFont="1" applyFill="1" applyBorder="1" applyAlignment="1">
      <alignment horizontal="left"/>
    </xf>
    <xf numFmtId="0" fontId="10" fillId="0" borderId="12" xfId="0" applyFont="1" applyBorder="1"/>
    <xf numFmtId="0" fontId="8" fillId="0" borderId="0" xfId="0" applyFont="1" applyAlignment="1">
      <alignment vertical="center"/>
    </xf>
    <xf numFmtId="0" fontId="3" fillId="2" borderId="4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2" borderId="4" xfId="0" applyFont="1" applyFill="1" applyBorder="1"/>
    <xf numFmtId="0" fontId="3" fillId="0" borderId="5" xfId="0" applyFont="1" applyBorder="1"/>
    <xf numFmtId="164" fontId="3" fillId="0" borderId="20" xfId="0" applyNumberFormat="1" applyFont="1" applyBorder="1"/>
    <xf numFmtId="0" fontId="3" fillId="0" borderId="8" xfId="0" applyFont="1" applyBorder="1"/>
    <xf numFmtId="0" fontId="3" fillId="12" borderId="27" xfId="0" applyFont="1" applyFill="1" applyBorder="1" applyProtection="1">
      <protection locked="0"/>
    </xf>
    <xf numFmtId="0" fontId="1" fillId="0" borderId="0" xfId="1" applyFont="1" applyAlignment="1" applyProtection="1">
      <alignment horizontal="center"/>
      <protection locked="0"/>
    </xf>
    <xf numFmtId="1" fontId="1" fillId="0" borderId="0" xfId="1" applyNumberFormat="1" applyFont="1" applyAlignment="1">
      <alignment horizontal="center"/>
    </xf>
    <xf numFmtId="1" fontId="1" fillId="19" borderId="0" xfId="1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6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0" fillId="0" borderId="0" xfId="0" applyFont="1" applyAlignment="1">
      <alignment horizontal="center" vertical="center"/>
    </xf>
    <xf numFmtId="0" fontId="63" fillId="40" borderId="59" xfId="0" applyFont="1" applyFill="1" applyBorder="1" applyAlignment="1">
      <alignment horizontal="center"/>
    </xf>
    <xf numFmtId="0" fontId="63" fillId="40" borderId="59" xfId="0" applyFont="1" applyFill="1" applyBorder="1" applyAlignment="1">
      <alignment horizontal="center" vertical="center"/>
    </xf>
    <xf numFmtId="0" fontId="63" fillId="35" borderId="59" xfId="0" applyFont="1" applyFill="1" applyBorder="1" applyAlignment="1">
      <alignment horizontal="center"/>
    </xf>
    <xf numFmtId="0" fontId="56" fillId="22" borderId="0" xfId="4" applyFill="1" applyBorder="1" applyAlignment="1">
      <alignment horizontal="center"/>
    </xf>
    <xf numFmtId="0" fontId="20" fillId="23" borderId="36" xfId="1" applyFont="1" applyFill="1" applyBorder="1" applyAlignment="1">
      <alignment horizontal="center"/>
    </xf>
    <xf numFmtId="0" fontId="20" fillId="23" borderId="37" xfId="1" applyFont="1" applyFill="1" applyBorder="1" applyAlignment="1">
      <alignment horizontal="center"/>
    </xf>
    <xf numFmtId="0" fontId="54" fillId="2" borderId="0" xfId="2" applyFill="1" applyBorder="1" applyAlignment="1">
      <alignment horizontal="left"/>
    </xf>
    <xf numFmtId="0" fontId="8" fillId="23" borderId="38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13" fillId="24" borderId="39" xfId="0" applyFont="1" applyFill="1" applyBorder="1" applyAlignment="1">
      <alignment horizontal="center"/>
    </xf>
    <xf numFmtId="0" fontId="13" fillId="24" borderId="40" xfId="0" applyFont="1" applyFill="1" applyBorder="1" applyAlignment="1">
      <alignment horizontal="center"/>
    </xf>
    <xf numFmtId="0" fontId="20" fillId="0" borderId="0" xfId="1" applyFont="1" applyAlignment="1" applyProtection="1">
      <alignment horizontal="left"/>
      <protection locked="0"/>
    </xf>
    <xf numFmtId="0" fontId="18" fillId="0" borderId="41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54" fillId="0" borderId="0" xfId="2" applyFill="1" applyBorder="1" applyAlignment="1">
      <alignment horizontal="left"/>
    </xf>
    <xf numFmtId="0" fontId="18" fillId="0" borderId="41" xfId="0" applyFont="1" applyBorder="1" applyAlignment="1">
      <alignment horizontal="center"/>
    </xf>
    <xf numFmtId="0" fontId="21" fillId="24" borderId="57" xfId="3" applyFont="1" applyFill="1" applyAlignment="1">
      <alignment horizontal="center"/>
    </xf>
    <xf numFmtId="0" fontId="15" fillId="25" borderId="58" xfId="4" applyFont="1" applyFill="1" applyAlignment="1">
      <alignment horizontal="center"/>
    </xf>
    <xf numFmtId="0" fontId="27" fillId="0" borderId="0" xfId="0" applyFont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34" fillId="2" borderId="0" xfId="2" applyFont="1" applyFill="1" applyBorder="1" applyAlignment="1">
      <alignment horizontal="center"/>
    </xf>
    <xf numFmtId="0" fontId="5" fillId="21" borderId="45" xfId="0" applyFont="1" applyFill="1" applyBorder="1" applyAlignment="1">
      <alignment horizontal="left"/>
    </xf>
    <xf numFmtId="0" fontId="5" fillId="21" borderId="46" xfId="0" applyFont="1" applyFill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36" fillId="8" borderId="0" xfId="4" applyFont="1" applyFill="1" applyBorder="1" applyAlignment="1">
      <alignment horizontal="center"/>
    </xf>
    <xf numFmtId="0" fontId="5" fillId="21" borderId="19" xfId="0" applyFont="1" applyFill="1" applyBorder="1" applyAlignment="1">
      <alignment horizontal="left"/>
    </xf>
    <xf numFmtId="0" fontId="5" fillId="21" borderId="0" xfId="0" applyFont="1" applyFill="1" applyAlignment="1">
      <alignment horizontal="left"/>
    </xf>
    <xf numFmtId="0" fontId="5" fillId="0" borderId="47" xfId="0" applyFont="1" applyBorder="1" applyAlignment="1">
      <alignment horizontal="left"/>
    </xf>
    <xf numFmtId="0" fontId="25" fillId="0" borderId="0" xfId="1" applyFont="1" applyAlignment="1" applyProtection="1">
      <alignment horizontal="left"/>
      <protection locked="0"/>
    </xf>
    <xf numFmtId="0" fontId="39" fillId="0" borderId="0" xfId="0" applyFont="1" applyAlignment="1">
      <alignment horizontal="center"/>
    </xf>
    <xf numFmtId="0" fontId="33" fillId="8" borderId="42" xfId="1" applyFont="1" applyFill="1" applyBorder="1" applyAlignment="1">
      <alignment horizontal="center" vertical="center"/>
    </xf>
    <xf numFmtId="0" fontId="33" fillId="8" borderId="43" xfId="1" applyFont="1" applyFill="1" applyBorder="1" applyAlignment="1">
      <alignment horizontal="center" vertical="center"/>
    </xf>
    <xf numFmtId="0" fontId="33" fillId="8" borderId="44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1" fillId="30" borderId="48" xfId="4" applyFont="1" applyFill="1" applyBorder="1" applyAlignment="1">
      <alignment horizontal="center"/>
    </xf>
    <xf numFmtId="0" fontId="0" fillId="26" borderId="2" xfId="0" applyFill="1" applyBorder="1" applyAlignment="1">
      <alignment horizontal="center"/>
    </xf>
    <xf numFmtId="0" fontId="0" fillId="27" borderId="2" xfId="0" applyFill="1" applyBorder="1" applyAlignment="1">
      <alignment horizontal="center"/>
    </xf>
    <xf numFmtId="0" fontId="10" fillId="5" borderId="0" xfId="0" applyFont="1" applyFill="1" applyAlignment="1">
      <alignment horizontal="center"/>
    </xf>
    <xf numFmtId="0" fontId="22" fillId="5" borderId="0" xfId="2" applyFont="1" applyFill="1" applyBorder="1" applyAlignment="1">
      <alignment horizontal="center"/>
    </xf>
    <xf numFmtId="0" fontId="10" fillId="6" borderId="0" xfId="0" applyFont="1" applyFill="1" applyAlignment="1">
      <alignment horizontal="center"/>
    </xf>
    <xf numFmtId="0" fontId="10" fillId="7" borderId="0" xfId="0" applyFont="1" applyFill="1" applyAlignment="1">
      <alignment horizontal="center"/>
    </xf>
    <xf numFmtId="0" fontId="23" fillId="0" borderId="0" xfId="1" applyFont="1" applyAlignment="1" applyProtection="1">
      <alignment horizontal="left"/>
      <protection locked="0"/>
    </xf>
    <xf numFmtId="0" fontId="10" fillId="0" borderId="1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6" borderId="12" xfId="0" applyFont="1" applyFill="1" applyBorder="1" applyAlignment="1">
      <alignment horizontal="left"/>
    </xf>
    <xf numFmtId="0" fontId="10" fillId="6" borderId="0" xfId="0" applyFont="1" applyFill="1" applyAlignment="1">
      <alignment horizontal="left"/>
    </xf>
    <xf numFmtId="0" fontId="23" fillId="0" borderId="0" xfId="1" applyFont="1" applyAlignment="1" applyProtection="1">
      <alignment horizontal="left"/>
    </xf>
    <xf numFmtId="0" fontId="22" fillId="7" borderId="0" xfId="2" applyFont="1" applyFill="1" applyBorder="1" applyAlignment="1">
      <alignment horizontal="center"/>
    </xf>
    <xf numFmtId="0" fontId="10" fillId="0" borderId="0" xfId="4" applyFont="1" applyFill="1" applyBorder="1" applyAlignment="1">
      <alignment horizontal="center"/>
    </xf>
    <xf numFmtId="0" fontId="30" fillId="5" borderId="6" xfId="1" applyFont="1" applyFill="1" applyBorder="1" applyAlignment="1">
      <alignment horizontal="center"/>
    </xf>
    <xf numFmtId="0" fontId="30" fillId="5" borderId="10" xfId="1" applyFont="1" applyFill="1" applyBorder="1" applyAlignment="1">
      <alignment horizontal="center"/>
    </xf>
    <xf numFmtId="0" fontId="30" fillId="5" borderId="11" xfId="1" applyFont="1" applyFill="1" applyBorder="1" applyAlignment="1">
      <alignment horizontal="center"/>
    </xf>
    <xf numFmtId="0" fontId="44" fillId="0" borderId="16" xfId="1" applyFont="1" applyFill="1" applyBorder="1" applyAlignment="1">
      <alignment horizontal="left"/>
    </xf>
    <xf numFmtId="0" fontId="44" fillId="0" borderId="17" xfId="1" applyFont="1" applyFill="1" applyBorder="1" applyAlignment="1">
      <alignment horizontal="left"/>
    </xf>
    <xf numFmtId="0" fontId="10" fillId="6" borderId="14" xfId="0" applyFont="1" applyFill="1" applyBorder="1" applyAlignment="1">
      <alignment horizontal="left"/>
    </xf>
    <xf numFmtId="0" fontId="10" fillId="6" borderId="15" xfId="0" applyFont="1" applyFill="1" applyBorder="1" applyAlignment="1">
      <alignment horizontal="left"/>
    </xf>
    <xf numFmtId="0" fontId="60" fillId="0" borderId="60" xfId="0" applyFont="1" applyBorder="1" applyAlignment="1">
      <alignment horizontal="center"/>
    </xf>
    <xf numFmtId="0" fontId="60" fillId="0" borderId="61" xfId="0" applyFont="1" applyBorder="1" applyAlignment="1">
      <alignment horizontal="center"/>
    </xf>
    <xf numFmtId="0" fontId="62" fillId="0" borderId="63" xfId="0" applyFont="1" applyBorder="1" applyAlignment="1">
      <alignment horizontal="center" vertical="center"/>
    </xf>
    <xf numFmtId="0" fontId="62" fillId="0" borderId="64" xfId="0" applyFont="1" applyBorder="1" applyAlignment="1">
      <alignment horizontal="center" vertical="center"/>
    </xf>
    <xf numFmtId="0" fontId="62" fillId="0" borderId="65" xfId="0" applyFont="1" applyBorder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2" fillId="0" borderId="66" xfId="0" applyFont="1" applyBorder="1" applyAlignment="1">
      <alignment horizontal="center" vertical="center"/>
    </xf>
    <xf numFmtId="0" fontId="62" fillId="0" borderId="67" xfId="0" applyFont="1" applyBorder="1" applyAlignment="1">
      <alignment horizontal="center" vertical="center"/>
    </xf>
    <xf numFmtId="0" fontId="67" fillId="0" borderId="59" xfId="0" applyFont="1" applyBorder="1" applyAlignment="1">
      <alignment horizontal="center" vertical="center"/>
    </xf>
    <xf numFmtId="0" fontId="62" fillId="0" borderId="59" xfId="0" applyFont="1" applyBorder="1" applyAlignment="1">
      <alignment horizontal="center" vertical="center"/>
    </xf>
    <xf numFmtId="0" fontId="0" fillId="0" borderId="59" xfId="0" applyBorder="1" applyAlignment="1">
      <alignment horizontal="center"/>
    </xf>
    <xf numFmtId="0" fontId="0" fillId="11" borderId="49" xfId="0" applyFill="1" applyBorder="1" applyAlignment="1">
      <alignment horizontal="center"/>
    </xf>
    <xf numFmtId="0" fontId="0" fillId="11" borderId="50" xfId="0" applyFill="1" applyBorder="1" applyAlignment="1">
      <alignment horizontal="center"/>
    </xf>
    <xf numFmtId="0" fontId="0" fillId="11" borderId="51" xfId="0" applyFill="1" applyBorder="1" applyAlignment="1">
      <alignment horizontal="center"/>
    </xf>
    <xf numFmtId="0" fontId="0" fillId="10" borderId="49" xfId="0" applyFill="1" applyBorder="1" applyAlignment="1">
      <alignment horizontal="center"/>
    </xf>
    <xf numFmtId="0" fontId="0" fillId="10" borderId="50" xfId="0" applyFill="1" applyBorder="1" applyAlignment="1">
      <alignment horizontal="center"/>
    </xf>
    <xf numFmtId="0" fontId="0" fillId="10" borderId="51" xfId="0" applyFill="1" applyBorder="1" applyAlignment="1">
      <alignment horizontal="center"/>
    </xf>
    <xf numFmtId="0" fontId="3" fillId="0" borderId="19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3" fillId="21" borderId="19" xfId="0" applyFont="1" applyFill="1" applyBorder="1" applyAlignment="1">
      <alignment horizontal="left"/>
    </xf>
    <xf numFmtId="0" fontId="13" fillId="21" borderId="0" xfId="0" applyFont="1" applyFill="1" applyAlignment="1">
      <alignment horizontal="left"/>
    </xf>
    <xf numFmtId="0" fontId="24" fillId="0" borderId="0" xfId="1" applyFont="1" applyAlignment="1">
      <alignment horizontal="center"/>
    </xf>
    <xf numFmtId="0" fontId="30" fillId="8" borderId="42" xfId="1" applyFont="1" applyFill="1" applyBorder="1" applyAlignment="1">
      <alignment horizontal="center" vertical="center"/>
    </xf>
    <xf numFmtId="0" fontId="30" fillId="8" borderId="43" xfId="1" applyFont="1" applyFill="1" applyBorder="1" applyAlignment="1">
      <alignment horizontal="center" vertical="center"/>
    </xf>
    <xf numFmtId="0" fontId="30" fillId="8" borderId="44" xfId="1" applyFont="1" applyFill="1" applyBorder="1" applyAlignment="1">
      <alignment horizontal="center" vertical="center"/>
    </xf>
    <xf numFmtId="0" fontId="13" fillId="8" borderId="45" xfId="0" applyFont="1" applyFill="1" applyBorder="1" applyAlignment="1">
      <alignment horizontal="left"/>
    </xf>
    <xf numFmtId="0" fontId="13" fillId="8" borderId="46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53" fillId="0" borderId="0" xfId="1" applyAlignment="1">
      <alignment horizontal="center"/>
    </xf>
    <xf numFmtId="0" fontId="26" fillId="23" borderId="52" xfId="1" applyFont="1" applyFill="1" applyBorder="1" applyAlignment="1">
      <alignment horizontal="center"/>
    </xf>
    <xf numFmtId="0" fontId="26" fillId="23" borderId="53" xfId="1" applyFont="1" applyFill="1" applyBorder="1" applyAlignment="1">
      <alignment horizontal="center"/>
    </xf>
    <xf numFmtId="0" fontId="55" fillId="0" borderId="18" xfId="3" applyBorder="1" applyAlignment="1">
      <alignment horizontal="center"/>
    </xf>
    <xf numFmtId="0" fontId="0" fillId="5" borderId="18" xfId="0" applyFill="1" applyBorder="1" applyAlignment="1">
      <alignment horizontal="left"/>
    </xf>
    <xf numFmtId="0" fontId="0" fillId="0" borderId="18" xfId="0" applyBorder="1" applyAlignment="1">
      <alignment horizontal="center"/>
    </xf>
    <xf numFmtId="0" fontId="0" fillId="15" borderId="18" xfId="0" applyFill="1" applyBorder="1" applyAlignment="1">
      <alignment horizontal="left"/>
    </xf>
    <xf numFmtId="0" fontId="13" fillId="16" borderId="18" xfId="0" applyFont="1" applyFill="1" applyBorder="1" applyAlignment="1">
      <alignment horizontal="left"/>
    </xf>
    <xf numFmtId="0" fontId="13" fillId="8" borderId="18" xfId="0" applyFont="1" applyFill="1" applyBorder="1" applyAlignment="1">
      <alignment horizontal="left"/>
    </xf>
    <xf numFmtId="0" fontId="0" fillId="18" borderId="18" xfId="0" applyFill="1" applyBorder="1" applyAlignment="1">
      <alignment horizontal="left"/>
    </xf>
    <xf numFmtId="0" fontId="13" fillId="17" borderId="18" xfId="0" applyFont="1" applyFill="1" applyBorder="1" applyAlignment="1">
      <alignment horizontal="left"/>
    </xf>
    <xf numFmtId="0" fontId="0" fillId="6" borderId="18" xfId="0" applyFill="1" applyBorder="1" applyAlignment="1">
      <alignment horizontal="left"/>
    </xf>
    <xf numFmtId="0" fontId="38" fillId="0" borderId="54" xfId="3" applyFont="1" applyFill="1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0" xfId="0" applyAlignment="1">
      <alignment horizontal="right"/>
    </xf>
  </cellXfs>
  <cellStyles count="5">
    <cellStyle name="Normal" xfId="0" builtinId="0"/>
    <cellStyle name="Título" xfId="1" builtinId="15"/>
    <cellStyle name="Título 1" xfId="2" builtinId="16"/>
    <cellStyle name="Título 2" xfId="3" builtinId="17"/>
    <cellStyle name="Título 3" xfId="4" builtinId="18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6</xdr:col>
      <xdr:colOff>514350</xdr:colOff>
      <xdr:row>7</xdr:row>
      <xdr:rowOff>0</xdr:rowOff>
    </xdr:to>
    <xdr:pic>
      <xdr:nvPicPr>
        <xdr:cNvPr id="3108" name="Imagem 2" descr="getpreg.jpg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"/>
          <a:ext cx="67818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19050</xdr:rowOff>
    </xdr:from>
    <xdr:to>
      <xdr:col>6</xdr:col>
      <xdr:colOff>38100</xdr:colOff>
      <xdr:row>6</xdr:row>
      <xdr:rowOff>123825</xdr:rowOff>
    </xdr:to>
    <xdr:pic>
      <xdr:nvPicPr>
        <xdr:cNvPr id="4132" name="Imagem 1" descr="getkidsteen1.jpg">
          <a:extLst>
            <a:ext uri="{FF2B5EF4-FFF2-40B4-BE49-F238E27FC236}">
              <a16:creationId xmlns:a16="http://schemas.microsoft.com/office/drawing/2014/main" id="{00000000-0008-0000-0200-00002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19050"/>
          <a:ext cx="62198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33020</xdr:colOff>
      <xdr:row>3</xdr:row>
      <xdr:rowOff>53340</xdr:rowOff>
    </xdr:from>
    <xdr:to>
      <xdr:col>25</xdr:col>
      <xdr:colOff>1645920</xdr:colOff>
      <xdr:row>8</xdr:row>
      <xdr:rowOff>46990</xdr:rowOff>
    </xdr:to>
    <xdr:pic>
      <xdr:nvPicPr>
        <xdr:cNvPr id="2" name="Picture 1" descr="Locais de provas do Vestibular 2019 da UnB estão disponíveis">
          <a:extLst>
            <a:ext uri="{FF2B5EF4-FFF2-40B4-BE49-F238E27FC236}">
              <a16:creationId xmlns:a16="http://schemas.microsoft.com/office/drawing/2014/main" id="{8EB717C2-3B38-4B5F-831E-EFC1939A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8520" y="609600"/>
          <a:ext cx="1612900" cy="94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9332474</xdr:colOff>
      <xdr:row>2</xdr:row>
      <xdr:rowOff>68992</xdr:rowOff>
    </xdr:from>
    <xdr:to>
      <xdr:col>26</xdr:col>
      <xdr:colOff>10283568</xdr:colOff>
      <xdr:row>10</xdr:row>
      <xdr:rowOff>18735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74627E-DE74-4BA5-80FF-F52799BC3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374374" y="449992"/>
          <a:ext cx="951094" cy="14356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33020</xdr:colOff>
      <xdr:row>3</xdr:row>
      <xdr:rowOff>53340</xdr:rowOff>
    </xdr:from>
    <xdr:to>
      <xdr:col>20</xdr:col>
      <xdr:colOff>1645920</xdr:colOff>
      <xdr:row>8</xdr:row>
      <xdr:rowOff>46990</xdr:rowOff>
    </xdr:to>
    <xdr:pic>
      <xdr:nvPicPr>
        <xdr:cNvPr id="2" name="Picture 1" descr="Locais de provas do Vestibular 2019 da UnB estão disponíveis">
          <a:extLst>
            <a:ext uri="{FF2B5EF4-FFF2-40B4-BE49-F238E27FC236}">
              <a16:creationId xmlns:a16="http://schemas.microsoft.com/office/drawing/2014/main" id="{502080D1-1EF1-47EF-A275-4818CF1A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1370" y="624840"/>
          <a:ext cx="1612900" cy="94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7681474</xdr:colOff>
      <xdr:row>2</xdr:row>
      <xdr:rowOff>94392</xdr:rowOff>
    </xdr:from>
    <xdr:to>
      <xdr:col>21</xdr:col>
      <xdr:colOff>8632568</xdr:colOff>
      <xdr:row>10</xdr:row>
      <xdr:rowOff>44135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8AEED9-FAE0-45C1-9136-6D2C624AC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246609" y="471960"/>
          <a:ext cx="951094" cy="14342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33020</xdr:colOff>
      <xdr:row>3</xdr:row>
      <xdr:rowOff>53340</xdr:rowOff>
    </xdr:from>
    <xdr:to>
      <xdr:col>19</xdr:col>
      <xdr:colOff>1645920</xdr:colOff>
      <xdr:row>8</xdr:row>
      <xdr:rowOff>46990</xdr:rowOff>
    </xdr:to>
    <xdr:pic>
      <xdr:nvPicPr>
        <xdr:cNvPr id="2" name="Picture 1" descr="Locais de provas do Vestibular 2019 da UnB estão disponíveis">
          <a:extLst>
            <a:ext uri="{FF2B5EF4-FFF2-40B4-BE49-F238E27FC236}">
              <a16:creationId xmlns:a16="http://schemas.microsoft.com/office/drawing/2014/main" id="{89C7E70A-D846-8C1D-F1D1-315F34B0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9820" y="632460"/>
          <a:ext cx="1612900" cy="958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5476136</xdr:colOff>
      <xdr:row>2</xdr:row>
      <xdr:rowOff>17163</xdr:rowOff>
    </xdr:from>
    <xdr:to>
      <xdr:col>20</xdr:col>
      <xdr:colOff>6427230</xdr:colOff>
      <xdr:row>9</xdr:row>
      <xdr:rowOff>129947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F3F168-D672-7AC3-95D2-A63EFB0AE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41271" y="394731"/>
          <a:ext cx="951094" cy="143427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6</xdr:col>
      <xdr:colOff>333375</xdr:colOff>
      <xdr:row>5</xdr:row>
      <xdr:rowOff>9525</xdr:rowOff>
    </xdr:to>
    <xdr:pic>
      <xdr:nvPicPr>
        <xdr:cNvPr id="5156" name="Imagem 1" descr="getidos.jpg">
          <a:extLst>
            <a:ext uri="{FF2B5EF4-FFF2-40B4-BE49-F238E27FC236}">
              <a16:creationId xmlns:a16="http://schemas.microsoft.com/office/drawing/2014/main" id="{00000000-0008-0000-0300-00002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"/>
          <a:ext cx="63722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9525</xdr:colOff>
      <xdr:row>6</xdr:row>
      <xdr:rowOff>28575</xdr:rowOff>
    </xdr:to>
    <xdr:pic>
      <xdr:nvPicPr>
        <xdr:cNvPr id="1060" name="Imagem 2" descr="F:\Teresa-BRA\UnB2010\Lecturers_2010\ND2_2010\figura2a.jpg">
          <a:extLst>
            <a:ext uri="{FF2B5EF4-FFF2-40B4-BE49-F238E27FC236}">
              <a16:creationId xmlns:a16="http://schemas.microsoft.com/office/drawing/2014/main" id="{00000000-0008-0000-04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65810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1047750</xdr:colOff>
      <xdr:row>7</xdr:row>
      <xdr:rowOff>257175</xdr:rowOff>
    </xdr:to>
    <xdr:pic>
      <xdr:nvPicPr>
        <xdr:cNvPr id="2086" name="Picture 34">
          <a:extLst>
            <a:ext uri="{FF2B5EF4-FFF2-40B4-BE49-F238E27FC236}">
              <a16:creationId xmlns:a16="http://schemas.microsoft.com/office/drawing/2014/main" id="{00000000-0008-0000-0500-00002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581775" cy="168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781050</xdr:colOff>
      <xdr:row>8</xdr:row>
      <xdr:rowOff>0</xdr:rowOff>
    </xdr:to>
    <xdr:pic>
      <xdr:nvPicPr>
        <xdr:cNvPr id="12303" name="Picture 6">
          <a:extLst>
            <a:ext uri="{FF2B5EF4-FFF2-40B4-BE49-F238E27FC236}">
              <a16:creationId xmlns:a16="http://schemas.microsoft.com/office/drawing/2014/main" id="{00000000-0008-0000-0600-00000F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677025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142875</xdr:rowOff>
    </xdr:from>
    <xdr:to>
      <xdr:col>12</xdr:col>
      <xdr:colOff>238125</xdr:colOff>
      <xdr:row>54</xdr:row>
      <xdr:rowOff>85725</xdr:rowOff>
    </xdr:to>
    <xdr:pic>
      <xdr:nvPicPr>
        <xdr:cNvPr id="6180" name="Imagem 1" descr="paes.jpg">
          <a:extLst>
            <a:ext uri="{FF2B5EF4-FFF2-40B4-BE49-F238E27FC236}">
              <a16:creationId xmlns:a16="http://schemas.microsoft.com/office/drawing/2014/main" id="{00000000-0008-0000-0700-00002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33375"/>
          <a:ext cx="7553325" cy="1003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66675</xdr:rowOff>
    </xdr:from>
    <xdr:to>
      <xdr:col>12</xdr:col>
      <xdr:colOff>333375</xdr:colOff>
      <xdr:row>51</xdr:row>
      <xdr:rowOff>142875</xdr:rowOff>
    </xdr:to>
    <xdr:pic>
      <xdr:nvPicPr>
        <xdr:cNvPr id="7204" name="Imagem 5" descr="hortaliças.jpg">
          <a:extLst>
            <a:ext uri="{FF2B5EF4-FFF2-40B4-BE49-F238E27FC236}">
              <a16:creationId xmlns:a16="http://schemas.microsoft.com/office/drawing/2014/main" id="{00000000-0008-0000-0800-00002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57175"/>
          <a:ext cx="7648575" cy="962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152400</xdr:rowOff>
    </xdr:from>
    <xdr:to>
      <xdr:col>13</xdr:col>
      <xdr:colOff>180975</xdr:colOff>
      <xdr:row>61</xdr:row>
      <xdr:rowOff>180975</xdr:rowOff>
    </xdr:to>
    <xdr:pic>
      <xdr:nvPicPr>
        <xdr:cNvPr id="8228" name="Imagem 1" descr="frutas.jpg">
          <a:extLst>
            <a:ext uri="{FF2B5EF4-FFF2-40B4-BE49-F238E27FC236}">
              <a16:creationId xmlns:a16="http://schemas.microsoft.com/office/drawing/2014/main" id="{00000000-0008-0000-0900-00002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42900"/>
          <a:ext cx="8105775" cy="1145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9525</xdr:rowOff>
    </xdr:from>
    <xdr:to>
      <xdr:col>12</xdr:col>
      <xdr:colOff>400050</xdr:colOff>
      <xdr:row>60</xdr:row>
      <xdr:rowOff>38100</xdr:rowOff>
    </xdr:to>
    <xdr:pic>
      <xdr:nvPicPr>
        <xdr:cNvPr id="9252" name="Imagem 1" descr="carnesleg.jpg">
          <a:extLst>
            <a:ext uri="{FF2B5EF4-FFF2-40B4-BE49-F238E27FC236}">
              <a16:creationId xmlns:a16="http://schemas.microsoft.com/office/drawing/2014/main" id="{00000000-0008-0000-0A00-00002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90525"/>
          <a:ext cx="7715250" cy="11077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10</xdr:col>
      <xdr:colOff>190500</xdr:colOff>
      <xdr:row>26</xdr:row>
      <xdr:rowOff>161925</xdr:rowOff>
    </xdr:to>
    <xdr:pic>
      <xdr:nvPicPr>
        <xdr:cNvPr id="10276" name="Imagem 1" descr="leite.jpg">
          <a:extLst>
            <a:ext uri="{FF2B5EF4-FFF2-40B4-BE49-F238E27FC236}">
              <a16:creationId xmlns:a16="http://schemas.microsoft.com/office/drawing/2014/main" id="{00000000-0008-0000-0B00-00002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6286500" cy="492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247650</xdr:colOff>
      <xdr:row>38</xdr:row>
      <xdr:rowOff>104775</xdr:rowOff>
    </xdr:to>
    <xdr:pic>
      <xdr:nvPicPr>
        <xdr:cNvPr id="11300" name="Imagem 1" descr="oleosacu.jpg">
          <a:extLst>
            <a:ext uri="{FF2B5EF4-FFF2-40B4-BE49-F238E27FC236}">
              <a16:creationId xmlns:a16="http://schemas.microsoft.com/office/drawing/2014/main" id="{00000000-0008-0000-0C00-00002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7562850" cy="7153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3" tint="0.59999389629810485"/>
  </sheetPr>
  <dimension ref="A9:P43"/>
  <sheetViews>
    <sheetView zoomScale="85" zoomScaleNormal="85" workbookViewId="0">
      <selection activeCell="B12" sqref="B12"/>
    </sheetView>
  </sheetViews>
  <sheetFormatPr defaultColWidth="8.77734375" defaultRowHeight="14.4"/>
  <cols>
    <col min="1" max="1" width="29" bestFit="1" customWidth="1"/>
    <col min="2" max="2" width="14.6640625" bestFit="1" customWidth="1"/>
    <col min="3" max="3" width="7.44140625" customWidth="1"/>
    <col min="4" max="4" width="20.77734375" bestFit="1" customWidth="1"/>
    <col min="5" max="5" width="7.109375" customWidth="1"/>
    <col min="6" max="6" width="14.6640625" bestFit="1" customWidth="1"/>
  </cols>
  <sheetData>
    <row r="9" spans="1:16" ht="23.25" customHeight="1" thickBot="1">
      <c r="A9" s="175" t="s">
        <v>0</v>
      </c>
      <c r="B9" s="175"/>
      <c r="C9" s="175"/>
      <c r="D9" s="175"/>
      <c r="E9" s="175"/>
      <c r="F9" s="175"/>
      <c r="G9" s="175"/>
    </row>
    <row r="10" spans="1:16" ht="24" thickTop="1" thickBot="1">
      <c r="A10" s="167" t="s">
        <v>1</v>
      </c>
      <c r="B10" s="168"/>
      <c r="C10" s="2"/>
      <c r="D10" s="2"/>
      <c r="E10" s="2"/>
      <c r="F10" s="12"/>
      <c r="G10" s="170" t="s">
        <v>2</v>
      </c>
      <c r="H10" s="170"/>
      <c r="I10" s="170"/>
      <c r="J10" s="170" t="s">
        <v>3</v>
      </c>
      <c r="K10" s="170"/>
      <c r="L10" s="170"/>
      <c r="M10" s="170" t="s">
        <v>4</v>
      </c>
      <c r="N10" s="170"/>
      <c r="O10" s="170"/>
      <c r="P10" s="170"/>
    </row>
    <row r="11" spans="1:16" ht="15" thickTop="1">
      <c r="A11" s="128" t="s">
        <v>5</v>
      </c>
      <c r="B11" s="73"/>
      <c r="C11" s="3"/>
      <c r="D11" s="3"/>
      <c r="E11" s="3"/>
      <c r="F11" s="3"/>
      <c r="G11" s="177" t="s">
        <v>6</v>
      </c>
      <c r="H11" s="177"/>
      <c r="I11" s="177"/>
      <c r="J11" s="178" t="s">
        <v>7</v>
      </c>
      <c r="K11" s="178"/>
      <c r="L11" s="178"/>
      <c r="M11" s="178" t="s">
        <v>8</v>
      </c>
      <c r="N11" s="178"/>
      <c r="O11" s="178"/>
      <c r="P11" s="178"/>
    </row>
    <row r="12" spans="1:16">
      <c r="A12" s="129" t="s">
        <v>9</v>
      </c>
      <c r="B12" s="74"/>
      <c r="C12" s="3"/>
      <c r="D12" s="3"/>
      <c r="E12" s="3"/>
      <c r="F12" s="3"/>
      <c r="G12" s="177" t="s">
        <v>10</v>
      </c>
      <c r="H12" s="177"/>
      <c r="I12" s="177"/>
      <c r="J12" s="178" t="s">
        <v>11</v>
      </c>
      <c r="K12" s="178"/>
      <c r="L12" s="178"/>
      <c r="M12" s="178" t="s">
        <v>12</v>
      </c>
      <c r="N12" s="178"/>
      <c r="O12" s="178"/>
      <c r="P12" s="178"/>
    </row>
    <row r="13" spans="1:16">
      <c r="A13" s="130" t="s">
        <v>13</v>
      </c>
      <c r="B13" s="75"/>
      <c r="C13" s="3"/>
      <c r="D13" s="3"/>
      <c r="E13" s="3"/>
      <c r="F13" s="3"/>
      <c r="G13" s="177" t="s">
        <v>14</v>
      </c>
      <c r="H13" s="177"/>
      <c r="I13" s="177"/>
      <c r="J13" s="178" t="s">
        <v>15</v>
      </c>
      <c r="K13" s="178"/>
      <c r="L13" s="178"/>
      <c r="M13" s="178" t="s">
        <v>16</v>
      </c>
      <c r="N13" s="178"/>
      <c r="O13" s="178"/>
      <c r="P13" s="178"/>
    </row>
    <row r="14" spans="1:16" ht="16.8" thickBot="1">
      <c r="A14" s="131" t="s">
        <v>17</v>
      </c>
      <c r="B14" s="57" t="e">
        <f>B13/POWER(B12,2)</f>
        <v>#DIV/0!</v>
      </c>
      <c r="C14" s="3"/>
      <c r="D14" s="3"/>
      <c r="E14" s="3"/>
      <c r="F14" s="3"/>
      <c r="G14" s="176" t="s">
        <v>18</v>
      </c>
      <c r="H14" s="176"/>
      <c r="I14" s="176"/>
      <c r="J14" s="180" t="s">
        <v>19</v>
      </c>
      <c r="K14" s="180"/>
      <c r="L14" s="180"/>
      <c r="M14" s="180" t="s">
        <v>20</v>
      </c>
      <c r="N14" s="180"/>
      <c r="O14" s="180"/>
      <c r="P14" s="180"/>
    </row>
    <row r="15" spans="1:16" ht="15.6" thickTop="1" thickBot="1">
      <c r="A15" s="39" t="s">
        <v>21</v>
      </c>
      <c r="B15" s="76"/>
      <c r="C15" s="3"/>
      <c r="D15" s="3"/>
      <c r="E15" s="3"/>
      <c r="F15" s="3"/>
      <c r="O15" s="13" t="s">
        <v>22</v>
      </c>
    </row>
    <row r="16" spans="1:16" ht="15" thickTop="1">
      <c r="A16" s="24" t="s">
        <v>23</v>
      </c>
      <c r="B16" s="25"/>
      <c r="C16" s="3"/>
      <c r="D16" s="3"/>
      <c r="E16" s="3"/>
      <c r="F16" s="3"/>
      <c r="O16" s="13"/>
    </row>
    <row r="17" spans="1:15">
      <c r="A17" s="24" t="s">
        <v>24</v>
      </c>
      <c r="B17" s="25"/>
      <c r="C17" s="3"/>
      <c r="D17" s="3"/>
      <c r="E17" s="3"/>
      <c r="F17" s="3"/>
      <c r="O17" s="13"/>
    </row>
    <row r="18" spans="1:15">
      <c r="A18" s="66" t="s">
        <v>25</v>
      </c>
      <c r="B18" s="26"/>
      <c r="C18" s="3"/>
      <c r="D18" s="3"/>
      <c r="E18" s="3"/>
      <c r="F18" s="3"/>
    </row>
    <row r="19" spans="1:15">
      <c r="A19" s="132"/>
      <c r="B19" s="132"/>
      <c r="C19" s="133"/>
      <c r="D19" s="133"/>
      <c r="E19" s="133"/>
      <c r="F19" s="133"/>
    </row>
    <row r="21" spans="1:15" ht="19.8">
      <c r="A21" s="169" t="s">
        <v>26</v>
      </c>
      <c r="B21" s="169"/>
      <c r="C21" s="169"/>
      <c r="D21" s="169"/>
      <c r="E21" s="169"/>
      <c r="F21" s="169"/>
    </row>
    <row r="22" spans="1:15" ht="20.399999999999999" thickBot="1">
      <c r="A22" s="182" t="s">
        <v>27</v>
      </c>
      <c r="B22" s="182"/>
      <c r="C22" s="4"/>
      <c r="D22" s="166" t="s">
        <v>28</v>
      </c>
      <c r="E22" s="166"/>
      <c r="F22" s="166"/>
      <c r="G22" s="166"/>
      <c r="H22" s="166"/>
      <c r="I22" s="166"/>
    </row>
    <row r="23" spans="1:15" ht="16.8" thickBot="1">
      <c r="A23" s="5" t="s">
        <v>29</v>
      </c>
      <c r="B23" s="5" t="s">
        <v>30</v>
      </c>
      <c r="D23" s="7" t="s">
        <v>31</v>
      </c>
      <c r="E23" s="172" t="s">
        <v>32</v>
      </c>
      <c r="F23" s="172"/>
      <c r="G23" s="172"/>
      <c r="H23" s="172"/>
      <c r="I23" s="172"/>
    </row>
    <row r="24" spans="1:15">
      <c r="A24" s="9" t="s">
        <v>33</v>
      </c>
      <c r="B24" s="14">
        <f>IF(B15&lt;91,IF(B11&lt;19,((135.3)-(30.8*B11)+F28*(10*B13+934*B12)+25)))</f>
        <v>160.30000000000001</v>
      </c>
      <c r="D24" s="8" t="s">
        <v>34</v>
      </c>
      <c r="E24" s="171" t="s">
        <v>35</v>
      </c>
      <c r="F24" s="171"/>
      <c r="G24" s="171"/>
      <c r="H24" s="171"/>
      <c r="I24" s="171"/>
    </row>
    <row r="25" spans="1:15" ht="15" thickBot="1">
      <c r="A25" s="5" t="s">
        <v>36</v>
      </c>
      <c r="B25" s="5" t="s">
        <v>30</v>
      </c>
      <c r="D25" s="7" t="s">
        <v>37</v>
      </c>
      <c r="E25" s="172" t="s">
        <v>38</v>
      </c>
      <c r="F25" s="172"/>
      <c r="G25" s="172"/>
      <c r="H25" s="172"/>
      <c r="I25" s="172"/>
    </row>
    <row r="26" spans="1:15">
      <c r="A26" s="27" t="s">
        <v>39</v>
      </c>
      <c r="B26" s="14" t="b">
        <f>IF(B15&gt;90,IF(B15&lt;181,IF(B11&lt;19,((135.3)-(30.8*B11)+F28*(10*B13+934*B12)+25+160+180))))</f>
        <v>0</v>
      </c>
      <c r="D26" s="8" t="s">
        <v>40</v>
      </c>
      <c r="E26" s="171" t="s">
        <v>41</v>
      </c>
      <c r="F26" s="171"/>
      <c r="G26" s="171"/>
      <c r="H26" s="171"/>
      <c r="I26" s="171"/>
    </row>
    <row r="27" spans="1:15" ht="15" thickBot="1">
      <c r="A27" s="27" t="s">
        <v>42</v>
      </c>
      <c r="B27" s="14" t="b">
        <f>IF(B15&gt;180,IF(B11&lt;19,((135.3)-(30.8*B12)+F28*(10*B13+934*B12)+25+272+180)))</f>
        <v>0</v>
      </c>
      <c r="E27" s="9"/>
      <c r="F27" s="9"/>
      <c r="G27" s="9"/>
      <c r="H27" s="9"/>
      <c r="I27" s="9"/>
    </row>
    <row r="28" spans="1:15" ht="15.6" thickTop="1" thickBot="1">
      <c r="A28" s="6"/>
      <c r="B28" s="1"/>
      <c r="D28" s="173" t="s">
        <v>43</v>
      </c>
      <c r="E28" s="174"/>
      <c r="F28" s="77"/>
      <c r="G28" s="9"/>
      <c r="H28" s="9"/>
      <c r="I28" s="9"/>
    </row>
    <row r="29" spans="1:15" ht="15" thickTop="1">
      <c r="A29" s="6"/>
      <c r="B29" s="1"/>
      <c r="D29" s="10"/>
      <c r="E29" s="10"/>
      <c r="F29" s="11"/>
      <c r="G29" s="9"/>
      <c r="H29" s="9"/>
      <c r="I29" s="9"/>
    </row>
    <row r="31" spans="1:15" ht="18" thickBot="1">
      <c r="A31" s="181" t="s">
        <v>44</v>
      </c>
      <c r="B31" s="181"/>
      <c r="D31" s="166" t="s">
        <v>45</v>
      </c>
      <c r="E31" s="166"/>
      <c r="F31" s="166"/>
      <c r="G31" s="166"/>
      <c r="H31" s="166"/>
      <c r="I31" s="166"/>
    </row>
    <row r="32" spans="1:15" ht="17.399999999999999" thickTop="1" thickBot="1">
      <c r="A32" s="5" t="s">
        <v>29</v>
      </c>
      <c r="B32" s="5" t="s">
        <v>30</v>
      </c>
      <c r="D32" s="7" t="s">
        <v>31</v>
      </c>
      <c r="E32" s="172" t="s">
        <v>32</v>
      </c>
      <c r="F32" s="172"/>
      <c r="G32" s="172"/>
      <c r="H32" s="172"/>
      <c r="I32" s="172"/>
    </row>
    <row r="33" spans="1:9">
      <c r="A33" s="9" t="s">
        <v>33</v>
      </c>
      <c r="B33" s="14" t="b">
        <f>IF(B11&gt;18,IF(B15&lt;91,((354)-(6.91*B11)+F37*(9.36*B13+726*B12))))</f>
        <v>0</v>
      </c>
      <c r="D33" s="8" t="s">
        <v>34</v>
      </c>
      <c r="E33" s="171" t="s">
        <v>46</v>
      </c>
      <c r="F33" s="171"/>
      <c r="G33" s="171"/>
      <c r="H33" s="171"/>
      <c r="I33" s="171"/>
    </row>
    <row r="34" spans="1:9" ht="16.8" thickBot="1">
      <c r="A34" s="5" t="s">
        <v>47</v>
      </c>
      <c r="B34" s="5" t="s">
        <v>30</v>
      </c>
      <c r="D34" s="7" t="s">
        <v>37</v>
      </c>
      <c r="E34" s="172" t="s">
        <v>48</v>
      </c>
      <c r="F34" s="172"/>
      <c r="G34" s="172"/>
      <c r="H34" s="172"/>
      <c r="I34" s="172"/>
    </row>
    <row r="35" spans="1:9">
      <c r="A35" s="27" t="s">
        <v>39</v>
      </c>
      <c r="B35" s="14" t="b">
        <f>IF(B11&gt;18,IF(B15&gt;90,IF(B15&lt;181,((354)-(6.91*B11)+F37*(9.36*B13+726*B12)+160+180))))</f>
        <v>0</v>
      </c>
      <c r="D35" s="8" t="s">
        <v>40</v>
      </c>
      <c r="E35" s="171" t="s">
        <v>49</v>
      </c>
      <c r="F35" s="171"/>
      <c r="G35" s="171"/>
      <c r="H35" s="171"/>
      <c r="I35" s="171"/>
    </row>
    <row r="36" spans="1:9" ht="15" thickBot="1">
      <c r="A36" s="27" t="s">
        <v>42</v>
      </c>
      <c r="B36" s="14" t="b">
        <f>IF(B11&gt;18,IF(B15&gt;180,((354)-(6.91*B11)+F37*(9.36*B13+726*B12)+272+180)))</f>
        <v>0</v>
      </c>
    </row>
    <row r="37" spans="1:9" ht="15.6" thickTop="1" thickBot="1">
      <c r="D37" s="173" t="s">
        <v>43</v>
      </c>
      <c r="E37" s="174"/>
      <c r="F37" s="77"/>
    </row>
    <row r="38" spans="1:9" ht="15" thickTop="1"/>
    <row r="43" spans="1:9" ht="19.8">
      <c r="A43" s="179"/>
      <c r="B43" s="179"/>
      <c r="C43" s="179"/>
      <c r="D43" s="179"/>
      <c r="E43" s="179"/>
      <c r="F43" s="179"/>
    </row>
  </sheetData>
  <sheetProtection password="C6EA" sheet="1" scenarios="1" formatCells="0" selectLockedCells="1"/>
  <dataConsolidate/>
  <mergeCells count="33">
    <mergeCell ref="A43:F43"/>
    <mergeCell ref="J13:L13"/>
    <mergeCell ref="J14:L14"/>
    <mergeCell ref="M11:P11"/>
    <mergeCell ref="M12:P12"/>
    <mergeCell ref="M13:P13"/>
    <mergeCell ref="M14:P14"/>
    <mergeCell ref="D37:E37"/>
    <mergeCell ref="D22:I22"/>
    <mergeCell ref="E35:I35"/>
    <mergeCell ref="E32:I32"/>
    <mergeCell ref="E34:I34"/>
    <mergeCell ref="E33:I33"/>
    <mergeCell ref="A31:B31"/>
    <mergeCell ref="A22:B22"/>
    <mergeCell ref="E23:I23"/>
    <mergeCell ref="A9:G9"/>
    <mergeCell ref="J10:L10"/>
    <mergeCell ref="M10:P10"/>
    <mergeCell ref="G14:I14"/>
    <mergeCell ref="G13:I13"/>
    <mergeCell ref="G12:I12"/>
    <mergeCell ref="G11:I11"/>
    <mergeCell ref="J11:L11"/>
    <mergeCell ref="J12:L12"/>
    <mergeCell ref="D31:I31"/>
    <mergeCell ref="A10:B10"/>
    <mergeCell ref="A21:F21"/>
    <mergeCell ref="G10:I10"/>
    <mergeCell ref="E24:I24"/>
    <mergeCell ref="E25:I25"/>
    <mergeCell ref="E26:I26"/>
    <mergeCell ref="D28:E28"/>
  </mergeCells>
  <phoneticPr fontId="0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92D050"/>
  </sheetPr>
  <dimension ref="A2:L25"/>
  <sheetViews>
    <sheetView workbookViewId="0">
      <selection activeCell="F24" activeCellId="4" sqref="D11 D12 D13 A9:G9 F24"/>
    </sheetView>
  </sheetViews>
  <sheetFormatPr defaultColWidth="8.77734375" defaultRowHeight="14.4"/>
  <cols>
    <col min="1" max="1" width="17.33203125" bestFit="1" customWidth="1"/>
    <col min="2" max="2" width="8.33203125" customWidth="1"/>
    <col min="4" max="4" width="11.6640625" bestFit="1" customWidth="1"/>
    <col min="5" max="5" width="25.77734375" customWidth="1"/>
  </cols>
  <sheetData>
    <row r="2" spans="1:12" ht="19.8">
      <c r="A2" s="186" t="s">
        <v>50</v>
      </c>
      <c r="B2" s="186"/>
      <c r="C2" s="186"/>
      <c r="D2" s="186"/>
      <c r="E2" s="186"/>
      <c r="F2" s="186"/>
    </row>
    <row r="3" spans="1:12" ht="19.8">
      <c r="A3" s="186" t="s">
        <v>51</v>
      </c>
      <c r="B3" s="186"/>
      <c r="C3" s="186"/>
      <c r="D3" s="186"/>
      <c r="E3" s="186"/>
      <c r="F3" s="186"/>
    </row>
    <row r="9" spans="1:12" ht="18" thickBot="1">
      <c r="A9" s="195" t="s">
        <v>0</v>
      </c>
      <c r="B9" s="195"/>
      <c r="C9" s="195"/>
      <c r="D9" s="195"/>
      <c r="E9" s="195"/>
      <c r="F9" s="195"/>
      <c r="G9" s="195"/>
      <c r="I9" s="196"/>
      <c r="J9" s="196"/>
      <c r="K9" s="196"/>
      <c r="L9" s="196"/>
    </row>
    <row r="10" spans="1:12" ht="23.4" thickTop="1">
      <c r="A10" s="197" t="s">
        <v>1</v>
      </c>
      <c r="B10" s="198"/>
      <c r="C10" s="198"/>
      <c r="D10" s="199"/>
      <c r="E10" s="2"/>
      <c r="F10" s="2"/>
      <c r="J10" s="200"/>
      <c r="K10" s="200"/>
      <c r="L10" s="200"/>
    </row>
    <row r="11" spans="1:12">
      <c r="A11" s="192" t="s">
        <v>5</v>
      </c>
      <c r="B11" s="193"/>
      <c r="C11" s="193"/>
      <c r="D11" s="89"/>
      <c r="E11" s="3"/>
      <c r="F11" s="3"/>
      <c r="I11" s="38"/>
      <c r="J11" s="183"/>
      <c r="K11" s="183"/>
      <c r="L11" s="183"/>
    </row>
    <row r="12" spans="1:12">
      <c r="A12" s="189" t="s">
        <v>9</v>
      </c>
      <c r="B12" s="190"/>
      <c r="C12" s="190"/>
      <c r="D12" s="90"/>
      <c r="E12" s="3"/>
      <c r="F12" s="3"/>
      <c r="I12" s="37"/>
      <c r="J12" s="183"/>
      <c r="K12" s="183"/>
      <c r="L12" s="183"/>
    </row>
    <row r="13" spans="1:12">
      <c r="A13" s="192" t="s">
        <v>52</v>
      </c>
      <c r="B13" s="193"/>
      <c r="C13" s="193"/>
      <c r="D13" s="89"/>
      <c r="E13" s="3"/>
      <c r="F13" s="3"/>
      <c r="I13" s="37"/>
      <c r="J13" s="183"/>
      <c r="K13" s="183"/>
      <c r="L13" s="183"/>
    </row>
    <row r="14" spans="1:12" ht="16.2">
      <c r="A14" s="194" t="s">
        <v>53</v>
      </c>
      <c r="B14" s="190"/>
      <c r="C14" s="190"/>
      <c r="D14" s="61" t="e">
        <f>D13/(POWER(D12,2))</f>
        <v>#DIV/0!</v>
      </c>
      <c r="E14" s="3"/>
      <c r="F14" s="3"/>
      <c r="I14" s="37"/>
      <c r="J14" s="183"/>
      <c r="K14" s="183"/>
      <c r="L14" s="183"/>
    </row>
    <row r="15" spans="1:12" ht="15" thickBot="1">
      <c r="A15" s="187" t="s">
        <v>54</v>
      </c>
      <c r="B15" s="188"/>
      <c r="C15" s="188"/>
      <c r="D15" s="91"/>
      <c r="I15" s="37"/>
      <c r="J15" s="183"/>
      <c r="K15" s="183"/>
      <c r="L15" s="183"/>
    </row>
    <row r="16" spans="1:12" ht="20.399999999999999" thickTop="1">
      <c r="A16" s="186" t="s">
        <v>55</v>
      </c>
      <c r="B16" s="186"/>
      <c r="C16" s="186"/>
      <c r="D16" s="186"/>
      <c r="E16" s="186"/>
      <c r="F16" s="186"/>
    </row>
    <row r="17" spans="1:9" ht="19.8">
      <c r="A17" s="186" t="s">
        <v>56</v>
      </c>
      <c r="B17" s="186"/>
      <c r="C17" s="186"/>
      <c r="D17" s="186"/>
      <c r="E17" s="186"/>
      <c r="F17" s="186"/>
    </row>
    <row r="18" spans="1:9">
      <c r="A18" s="17" t="s">
        <v>57</v>
      </c>
      <c r="B18" s="17" t="s">
        <v>30</v>
      </c>
      <c r="D18" s="191" t="s">
        <v>58</v>
      </c>
      <c r="E18" s="191"/>
      <c r="F18" s="191"/>
      <c r="G18" s="191"/>
      <c r="H18" s="191"/>
      <c r="I18" s="191"/>
    </row>
    <row r="19" spans="1:9">
      <c r="A19" t="s">
        <v>59</v>
      </c>
      <c r="B19" s="14">
        <f>IF(D11&lt;19,IF(D15&lt;7,((135.3)-(30.8*D11)+F24*(10*D13+934*D12)+25+500-170)))</f>
        <v>490.29999999999995</v>
      </c>
      <c r="D19" s="18" t="s">
        <v>31</v>
      </c>
      <c r="E19" s="185" t="s">
        <v>32</v>
      </c>
      <c r="F19" s="185"/>
      <c r="G19" s="185"/>
      <c r="H19" s="185"/>
      <c r="I19" s="185"/>
    </row>
    <row r="20" spans="1:9">
      <c r="A20" t="s">
        <v>60</v>
      </c>
      <c r="B20" s="14" t="b">
        <f>IF(D11&gt;18,IF(D15&lt;7,((354)-(6.91*D11)+F24*(9.36*D13+726*D12)+500-170)))</f>
        <v>0</v>
      </c>
      <c r="D20" s="19" t="s">
        <v>34</v>
      </c>
      <c r="E20" s="184" t="s">
        <v>46</v>
      </c>
      <c r="F20" s="184"/>
      <c r="G20" s="184"/>
      <c r="H20" s="184"/>
      <c r="I20" s="184"/>
    </row>
    <row r="21" spans="1:9">
      <c r="D21" s="18" t="s">
        <v>37</v>
      </c>
      <c r="E21" s="185" t="s">
        <v>48</v>
      </c>
      <c r="F21" s="185"/>
      <c r="G21" s="185"/>
      <c r="H21" s="185"/>
      <c r="I21" s="185"/>
    </row>
    <row r="22" spans="1:9">
      <c r="A22" s="17" t="s">
        <v>61</v>
      </c>
      <c r="B22" s="17" t="s">
        <v>30</v>
      </c>
      <c r="D22" s="19" t="s">
        <v>40</v>
      </c>
      <c r="E22" s="184" t="s">
        <v>49</v>
      </c>
      <c r="F22" s="184"/>
      <c r="G22" s="184"/>
      <c r="H22" s="184"/>
      <c r="I22" s="184"/>
    </row>
    <row r="23" spans="1:9" ht="15" thickBot="1">
      <c r="A23" t="s">
        <v>59</v>
      </c>
      <c r="B23" s="14" t="b">
        <f>IF(D11&lt;19,IF(D15&gt;6,((135.3)-(30.8*D11)+F24*(10*D13+934*D12)+25+400)))</f>
        <v>0</v>
      </c>
    </row>
    <row r="24" spans="1:9" ht="15.6" thickTop="1" thickBot="1">
      <c r="A24" t="s">
        <v>60</v>
      </c>
      <c r="B24" s="14" t="b">
        <f>IF(D11&gt;18,IF(D15&gt;6,((354)-(6.91*D11)+F24*(9.36*D13+726*D12)+400)))</f>
        <v>0</v>
      </c>
      <c r="E24" s="16" t="s">
        <v>62</v>
      </c>
      <c r="F24" s="88"/>
    </row>
    <row r="25" spans="1:9" ht="15" thickTop="1"/>
  </sheetData>
  <sheetProtection password="C6EA" sheet="1" scenarios="1" selectLockedCells="1"/>
  <mergeCells count="23">
    <mergeCell ref="A2:F2"/>
    <mergeCell ref="A3:F3"/>
    <mergeCell ref="A15:C15"/>
    <mergeCell ref="E19:I19"/>
    <mergeCell ref="A12:C12"/>
    <mergeCell ref="A17:F17"/>
    <mergeCell ref="D18:I18"/>
    <mergeCell ref="A16:F16"/>
    <mergeCell ref="A13:C13"/>
    <mergeCell ref="A14:C14"/>
    <mergeCell ref="A9:G9"/>
    <mergeCell ref="I9:L9"/>
    <mergeCell ref="A10:D10"/>
    <mergeCell ref="J10:L10"/>
    <mergeCell ref="A11:C11"/>
    <mergeCell ref="J11:L11"/>
    <mergeCell ref="J14:L14"/>
    <mergeCell ref="E20:I20"/>
    <mergeCell ref="E21:I21"/>
    <mergeCell ref="E22:I22"/>
    <mergeCell ref="J12:L12"/>
    <mergeCell ref="J13:L13"/>
    <mergeCell ref="J15:L15"/>
  </mergeCells>
  <phoneticPr fontId="47" type="noConversion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FFC000"/>
  </sheetPr>
  <dimension ref="A9:N81"/>
  <sheetViews>
    <sheetView zoomScale="90" zoomScaleNormal="90" workbookViewId="0">
      <selection activeCell="D15" sqref="D15"/>
    </sheetView>
  </sheetViews>
  <sheetFormatPr defaultColWidth="8.77734375" defaultRowHeight="14.4"/>
  <cols>
    <col min="1" max="1" width="12.109375" bestFit="1" customWidth="1"/>
    <col min="3" max="3" width="11.44140625" bestFit="1" customWidth="1"/>
    <col min="4" max="4" width="9.44140625" bestFit="1" customWidth="1"/>
    <col min="5" max="5" width="27.33203125" customWidth="1"/>
    <col min="6" max="6" width="25.44140625" bestFit="1" customWidth="1"/>
    <col min="9" max="9" width="13.109375" customWidth="1"/>
    <col min="14" max="14" width="22.6640625" customWidth="1"/>
  </cols>
  <sheetData>
    <row r="9" spans="1:7" ht="17.399999999999999">
      <c r="A9" s="208" t="s">
        <v>0</v>
      </c>
      <c r="B9" s="208"/>
      <c r="C9" s="208"/>
      <c r="D9" s="208"/>
      <c r="E9" s="208"/>
      <c r="F9" s="208"/>
      <c r="G9" s="208"/>
    </row>
    <row r="10" spans="1:7" ht="15" thickBot="1"/>
    <row r="11" spans="1:7" ht="27" customHeight="1" thickTop="1" thickBot="1">
      <c r="A11" s="216" t="s">
        <v>1</v>
      </c>
      <c r="B11" s="217"/>
      <c r="C11" s="217"/>
      <c r="D11" s="218"/>
    </row>
    <row r="12" spans="1:7" ht="19.5" customHeight="1" thickTop="1">
      <c r="A12" s="219" t="s">
        <v>63</v>
      </c>
      <c r="B12" s="220"/>
      <c r="C12" s="220"/>
      <c r="D12" s="78"/>
      <c r="E12" s="2"/>
      <c r="F12" s="2"/>
    </row>
    <row r="13" spans="1:7">
      <c r="A13" s="212" t="s">
        <v>64</v>
      </c>
      <c r="B13" s="212"/>
      <c r="C13" s="212"/>
      <c r="D13" s="79"/>
      <c r="E13" s="3"/>
      <c r="F13" s="3"/>
    </row>
    <row r="14" spans="1:7">
      <c r="A14" s="42" t="s">
        <v>65</v>
      </c>
      <c r="B14" s="42"/>
      <c r="C14" s="42"/>
      <c r="D14" s="80"/>
      <c r="E14" s="3"/>
      <c r="F14" s="3"/>
    </row>
    <row r="15" spans="1:7">
      <c r="A15" s="211" t="s">
        <v>9</v>
      </c>
      <c r="B15" s="212"/>
      <c r="C15" s="212"/>
      <c r="D15" s="81"/>
      <c r="E15" s="3"/>
      <c r="F15" s="3"/>
    </row>
    <row r="16" spans="1:7">
      <c r="A16" s="209" t="s">
        <v>52</v>
      </c>
      <c r="B16" s="210"/>
      <c r="C16" s="210"/>
      <c r="D16" s="82"/>
      <c r="E16" s="3"/>
      <c r="F16" s="3"/>
    </row>
    <row r="17" spans="1:14" ht="16.8" thickBot="1">
      <c r="A17" s="221" t="s">
        <v>66</v>
      </c>
      <c r="B17" s="222"/>
      <c r="C17" s="222"/>
      <c r="D17" s="58"/>
      <c r="E17" s="3"/>
      <c r="F17" s="3"/>
    </row>
    <row r="18" spans="1:14" ht="15" thickTop="1"/>
    <row r="20" spans="1:14" ht="19.8">
      <c r="A20" s="214" t="s">
        <v>67</v>
      </c>
      <c r="B20" s="214"/>
      <c r="C20" s="214"/>
      <c r="D20" s="214"/>
      <c r="E20" s="214"/>
      <c r="F20" s="214"/>
    </row>
    <row r="21" spans="1:14" ht="19.8">
      <c r="A21" s="205" t="s">
        <v>68</v>
      </c>
      <c r="B21" s="205"/>
      <c r="C21" s="205"/>
      <c r="D21" s="205"/>
      <c r="E21" s="205"/>
      <c r="F21" s="205"/>
    </row>
    <row r="22" spans="1:14">
      <c r="A22" s="204" t="s">
        <v>69</v>
      </c>
      <c r="B22" s="204"/>
      <c r="C22" s="138" t="s">
        <v>30</v>
      </c>
    </row>
    <row r="23" spans="1:14">
      <c r="A23" s="200" t="s">
        <v>70</v>
      </c>
      <c r="B23" s="200"/>
      <c r="C23" s="14" t="b">
        <f>IF(D12&lt;4,IF(D12&lt;0,((89*D16-100)+175)))</f>
        <v>0</v>
      </c>
    </row>
    <row r="24" spans="1:14" ht="15" thickBot="1">
      <c r="A24" s="200" t="s">
        <v>71</v>
      </c>
      <c r="B24" s="200"/>
      <c r="C24" s="14" t="b">
        <f>IF(D12&gt;3,IF(D12&lt;7,((89*D16-100)+56)))</f>
        <v>0</v>
      </c>
    </row>
    <row r="25" spans="1:14" ht="15.6" thickTop="1" thickBot="1">
      <c r="A25" s="200" t="s">
        <v>72</v>
      </c>
      <c r="B25" s="200"/>
      <c r="C25" s="14" t="b">
        <f>IF(D12&gt;6,IF(D12&lt;13,((89*D16-100)+22)))</f>
        <v>0</v>
      </c>
      <c r="E25" s="67" t="s">
        <v>62</v>
      </c>
      <c r="F25" s="139"/>
      <c r="I25" s="201" t="s">
        <v>73</v>
      </c>
      <c r="J25" s="201"/>
      <c r="K25" s="201"/>
      <c r="L25" s="201"/>
      <c r="M25" s="201"/>
      <c r="N25" s="201"/>
    </row>
    <row r="26" spans="1:14" ht="15" thickTop="1">
      <c r="A26" s="200" t="s">
        <v>74</v>
      </c>
      <c r="B26" s="200"/>
      <c r="C26" s="14" t="b">
        <f>IF(D12&gt;11,((89*D16-100)+20))</f>
        <v>0</v>
      </c>
      <c r="I26" s="62" t="s">
        <v>31</v>
      </c>
      <c r="J26" s="202" t="s">
        <v>32</v>
      </c>
      <c r="K26" s="202"/>
      <c r="L26" s="202"/>
      <c r="M26" s="202"/>
      <c r="N26" s="202"/>
    </row>
    <row r="27" spans="1:14">
      <c r="A27" s="9"/>
      <c r="B27" s="9"/>
      <c r="I27" s="63" t="s">
        <v>34</v>
      </c>
      <c r="J27" s="203" t="s">
        <v>75</v>
      </c>
      <c r="K27" s="203"/>
      <c r="L27" s="203"/>
      <c r="M27" s="203"/>
      <c r="N27" s="203"/>
    </row>
    <row r="28" spans="1:14">
      <c r="A28" s="207" t="s">
        <v>76</v>
      </c>
      <c r="B28" s="207"/>
      <c r="C28" s="141" t="s">
        <v>30</v>
      </c>
      <c r="E28" s="215"/>
      <c r="F28" s="215"/>
      <c r="I28" s="62" t="s">
        <v>37</v>
      </c>
      <c r="J28" s="202" t="s">
        <v>77</v>
      </c>
      <c r="K28" s="202"/>
      <c r="L28" s="202"/>
      <c r="M28" s="202"/>
      <c r="N28" s="202"/>
    </row>
    <row r="29" spans="1:14">
      <c r="A29" s="200" t="s">
        <v>78</v>
      </c>
      <c r="B29" s="200"/>
      <c r="C29" s="14" t="b">
        <f>IF(D14=1,IF(D17&lt;25,IF(D13&gt;2,((68)-(43.3*D13)+(712*D15+19.2*D16)))))</f>
        <v>0</v>
      </c>
      <c r="E29" s="143"/>
      <c r="F29" s="32"/>
      <c r="I29" s="63" t="s">
        <v>40</v>
      </c>
      <c r="J29" s="203" t="s">
        <v>79</v>
      </c>
      <c r="K29" s="203"/>
      <c r="L29" s="203"/>
      <c r="M29" s="203"/>
      <c r="N29" s="203"/>
    </row>
    <row r="30" spans="1:14">
      <c r="A30" s="200"/>
      <c r="B30" s="200"/>
      <c r="C30" s="14"/>
      <c r="E30" s="34"/>
      <c r="F30" s="33"/>
    </row>
    <row r="31" spans="1:14">
      <c r="A31" s="206" t="s">
        <v>80</v>
      </c>
      <c r="B31" s="206"/>
      <c r="C31" s="145" t="s">
        <v>30</v>
      </c>
      <c r="E31" s="34"/>
      <c r="F31" s="33"/>
      <c r="I31" s="201" t="s">
        <v>81</v>
      </c>
      <c r="J31" s="201"/>
      <c r="K31" s="201"/>
      <c r="L31" s="201"/>
      <c r="M31" s="201"/>
      <c r="N31" s="201"/>
    </row>
    <row r="32" spans="1:14">
      <c r="A32" s="200" t="s">
        <v>78</v>
      </c>
      <c r="B32" s="200"/>
      <c r="C32" s="14" t="b">
        <f>IF(D14=2,IF(D17&lt;25,IF(D13&gt;2,((189)-(17.6*D13)+(625*D15+7.9*D16)))))</f>
        <v>0</v>
      </c>
      <c r="E32" s="34"/>
      <c r="F32" s="33"/>
      <c r="I32" s="62" t="s">
        <v>31</v>
      </c>
      <c r="J32" s="202" t="s">
        <v>32</v>
      </c>
      <c r="K32" s="202"/>
      <c r="L32" s="202"/>
      <c r="M32" s="202"/>
      <c r="N32" s="202"/>
    </row>
    <row r="33" spans="1:14">
      <c r="A33" s="200"/>
      <c r="B33" s="200"/>
      <c r="C33" s="14"/>
      <c r="E33" s="34"/>
      <c r="F33" s="33"/>
      <c r="I33" s="63" t="s">
        <v>34</v>
      </c>
      <c r="J33" s="203" t="s">
        <v>35</v>
      </c>
      <c r="K33" s="203"/>
      <c r="L33" s="203"/>
      <c r="M33" s="203"/>
      <c r="N33" s="203"/>
    </row>
    <row r="34" spans="1:14">
      <c r="I34" s="62" t="s">
        <v>37</v>
      </c>
      <c r="J34" s="202" t="s">
        <v>38</v>
      </c>
      <c r="K34" s="202"/>
      <c r="L34" s="202"/>
      <c r="M34" s="202"/>
      <c r="N34" s="202"/>
    </row>
    <row r="35" spans="1:14">
      <c r="I35" s="63" t="s">
        <v>40</v>
      </c>
      <c r="J35" s="203" t="s">
        <v>41</v>
      </c>
      <c r="K35" s="203"/>
      <c r="L35" s="203"/>
      <c r="M35" s="203"/>
      <c r="N35" s="203"/>
    </row>
    <row r="36" spans="1:14" ht="19.8">
      <c r="A36" s="205" t="s">
        <v>82</v>
      </c>
      <c r="B36" s="205"/>
      <c r="C36" s="205"/>
      <c r="D36" s="205"/>
      <c r="E36" s="205"/>
      <c r="F36" s="205"/>
    </row>
    <row r="37" spans="1:14">
      <c r="A37" s="207" t="s">
        <v>76</v>
      </c>
      <c r="B37" s="207"/>
      <c r="C37" s="141" t="s">
        <v>30</v>
      </c>
    </row>
    <row r="38" spans="1:14">
      <c r="A38" s="200" t="s">
        <v>83</v>
      </c>
      <c r="B38" s="200"/>
      <c r="C38" s="14" t="b">
        <f>IF(D13&lt;9,IF(D14=1,IF(D17&lt;25,((88.5)-(61.9*D13)+F25*(26.7*D16+903*D15)+20))))</f>
        <v>0</v>
      </c>
    </row>
    <row r="39" spans="1:14">
      <c r="A39" s="200" t="s">
        <v>84</v>
      </c>
      <c r="B39" s="200"/>
      <c r="C39" s="14" t="b">
        <f>IF(D13&gt;8,IF(D14=1,IF(D17&lt;25,((88.5)-(61.9*D13)+F25*(26.7*D16+903*D15)+25))))</f>
        <v>0</v>
      </c>
    </row>
    <row r="40" spans="1:14">
      <c r="A40" s="206" t="s">
        <v>80</v>
      </c>
      <c r="B40" s="206"/>
      <c r="C40" s="145" t="s">
        <v>30</v>
      </c>
    </row>
    <row r="41" spans="1:14">
      <c r="A41" s="200" t="s">
        <v>83</v>
      </c>
      <c r="B41" s="200"/>
      <c r="C41" s="14" t="b">
        <f>IF(D13&lt;9,IF(D14=21,IF(D17&lt;25,((135.3)-(30.8*D13)+F25*(10*D16+934*D15)+20))))</f>
        <v>0</v>
      </c>
    </row>
    <row r="42" spans="1:14">
      <c r="A42" s="200" t="s">
        <v>84</v>
      </c>
      <c r="B42" s="200"/>
      <c r="C42" s="14" t="b">
        <f>IF(D13&gt;8,IF(D14=2,IF(D17&lt;25,((135.3)-(30.8*D13)+F25*(10*D16+934*D15)+25))))</f>
        <v>0</v>
      </c>
    </row>
    <row r="46" spans="1:14" s="35" customFormat="1"/>
    <row r="47" spans="1:14" ht="19.8">
      <c r="A47" s="205" t="s">
        <v>85</v>
      </c>
      <c r="B47" s="205"/>
      <c r="C47" s="205"/>
      <c r="D47" s="205"/>
      <c r="E47" s="205"/>
      <c r="F47" s="205"/>
    </row>
    <row r="49" spans="1:7" ht="17.399999999999999">
      <c r="A49" s="213" t="s">
        <v>0</v>
      </c>
      <c r="B49" s="213"/>
      <c r="C49" s="213"/>
      <c r="D49" s="213"/>
      <c r="E49" s="213"/>
      <c r="F49" s="213"/>
      <c r="G49" s="213"/>
    </row>
    <row r="50" spans="1:7" ht="15" thickBot="1"/>
    <row r="51" spans="1:7" ht="24" thickTop="1" thickBot="1">
      <c r="A51" s="28" t="s">
        <v>1</v>
      </c>
      <c r="B51" s="29"/>
      <c r="C51" s="29"/>
      <c r="D51" s="30"/>
      <c r="E51" s="2"/>
      <c r="F51" s="2"/>
    </row>
    <row r="52" spans="1:7" ht="15" thickTop="1">
      <c r="A52" s="43" t="s">
        <v>5</v>
      </c>
      <c r="B52" s="146"/>
      <c r="C52" s="146"/>
      <c r="D52" s="83"/>
      <c r="E52" s="3"/>
      <c r="F52" s="3"/>
    </row>
    <row r="53" spans="1:7">
      <c r="A53" s="147" t="s">
        <v>86</v>
      </c>
      <c r="D53" s="84"/>
      <c r="E53" s="3"/>
      <c r="F53" s="3"/>
    </row>
    <row r="54" spans="1:7">
      <c r="A54" s="134" t="s">
        <v>9</v>
      </c>
      <c r="B54" s="127"/>
      <c r="C54" s="127"/>
      <c r="D54" s="81"/>
      <c r="E54" s="3"/>
      <c r="F54" s="3"/>
    </row>
    <row r="55" spans="1:7">
      <c r="A55" s="135" t="s">
        <v>52</v>
      </c>
      <c r="B55" s="42"/>
      <c r="C55" s="42"/>
      <c r="D55" s="82"/>
      <c r="E55" s="3"/>
      <c r="F55" s="3"/>
    </row>
    <row r="56" spans="1:7" ht="16.8" thickBot="1">
      <c r="A56" s="136" t="s">
        <v>66</v>
      </c>
      <c r="B56" s="137"/>
      <c r="C56" s="137"/>
      <c r="D56" s="59" t="e">
        <f>D55/POWER(D54,2)</f>
        <v>#DIV/0!</v>
      </c>
      <c r="E56" s="3"/>
      <c r="F56" s="3"/>
    </row>
    <row r="57" spans="1:7" ht="15" thickTop="1">
      <c r="E57" s="3"/>
      <c r="F57" s="3"/>
    </row>
    <row r="60" spans="1:7" ht="19.8">
      <c r="A60" s="41" t="s">
        <v>87</v>
      </c>
      <c r="B60" s="36"/>
      <c r="C60" s="36"/>
      <c r="D60" s="36"/>
      <c r="E60" s="36"/>
      <c r="F60" s="36"/>
    </row>
    <row r="61" spans="1:7">
      <c r="A61" s="140" t="s">
        <v>76</v>
      </c>
      <c r="B61" s="140"/>
      <c r="C61" s="141" t="s">
        <v>30</v>
      </c>
    </row>
    <row r="62" spans="1:7">
      <c r="A62" s="9" t="s">
        <v>78</v>
      </c>
      <c r="B62" s="9"/>
      <c r="C62" s="14" t="b">
        <f>IF(D53=1,IF(D56&gt;=25,((420)-(33.5*D52)+(418.9*D54+16.7*D55))))</f>
        <v>0</v>
      </c>
    </row>
    <row r="63" spans="1:7">
      <c r="A63" s="9"/>
      <c r="B63" s="9"/>
      <c r="C63" s="14"/>
    </row>
    <row r="64" spans="1:7">
      <c r="A64" s="144" t="s">
        <v>80</v>
      </c>
      <c r="B64" s="144"/>
      <c r="C64" s="145" t="s">
        <v>30</v>
      </c>
    </row>
    <row r="65" spans="1:14">
      <c r="A65" s="9" t="s">
        <v>78</v>
      </c>
      <c r="B65" s="9"/>
      <c r="C65" s="14" t="b">
        <f>IF(D53=2,IF(D56&gt;=25,((516)-(26.8*D52)+(347*D54+12.4*D55))))</f>
        <v>0</v>
      </c>
    </row>
    <row r="68" spans="1:14" ht="19.8">
      <c r="A68" s="205" t="s">
        <v>88</v>
      </c>
      <c r="B68" s="205"/>
      <c r="C68" s="205"/>
      <c r="D68" s="205"/>
      <c r="E68" s="205"/>
      <c r="F68" s="205"/>
    </row>
    <row r="69" spans="1:14">
      <c r="A69" s="9"/>
      <c r="B69" s="9"/>
    </row>
    <row r="70" spans="1:14" ht="15" thickBot="1">
      <c r="A70" s="140" t="s">
        <v>76</v>
      </c>
      <c r="B70" s="140"/>
      <c r="C70" s="141" t="s">
        <v>30</v>
      </c>
      <c r="E70" s="142"/>
      <c r="F70" s="142"/>
    </row>
    <row r="71" spans="1:14" ht="15.6" thickTop="1" thickBot="1">
      <c r="A71" s="9" t="s">
        <v>78</v>
      </c>
      <c r="B71" s="9"/>
      <c r="C71" s="14" t="b">
        <f>IF(D53=1,IF(D56&gt;=25,((114)-(50.9*D52)+F71*(19.5*D55+1161.4*D54))))</f>
        <v>0</v>
      </c>
      <c r="E71" s="67" t="s">
        <v>62</v>
      </c>
      <c r="F71" s="139"/>
      <c r="I71" s="201" t="s">
        <v>89</v>
      </c>
      <c r="J71" s="201"/>
      <c r="K71" s="201"/>
      <c r="L71" s="201"/>
      <c r="M71" s="201"/>
      <c r="N71" s="201"/>
    </row>
    <row r="72" spans="1:14" ht="15" thickTop="1">
      <c r="A72" s="9"/>
      <c r="B72" s="9"/>
      <c r="C72" s="14"/>
      <c r="E72" s="34"/>
      <c r="F72" s="33"/>
      <c r="I72" s="62" t="s">
        <v>31</v>
      </c>
      <c r="J72" s="202" t="s">
        <v>32</v>
      </c>
      <c r="K72" s="202"/>
      <c r="L72" s="202"/>
      <c r="M72" s="202"/>
      <c r="N72" s="202"/>
    </row>
    <row r="73" spans="1:14">
      <c r="A73" s="144" t="s">
        <v>80</v>
      </c>
      <c r="B73" s="144"/>
      <c r="C73" s="145" t="s">
        <v>30</v>
      </c>
      <c r="E73" s="34"/>
      <c r="F73" s="33"/>
      <c r="I73" s="63" t="s">
        <v>34</v>
      </c>
      <c r="J73" s="203" t="s">
        <v>46</v>
      </c>
      <c r="K73" s="203"/>
      <c r="L73" s="203"/>
      <c r="M73" s="203"/>
      <c r="N73" s="203"/>
    </row>
    <row r="74" spans="1:14">
      <c r="A74" s="9" t="s">
        <v>78</v>
      </c>
      <c r="B74" s="9"/>
      <c r="C74" s="14" t="b">
        <f>IF(D53=2,IF(D56&gt;=25,((389)-(41.2*D52)+F71*(15*D55+701.6*D54))))</f>
        <v>0</v>
      </c>
      <c r="E74" s="34"/>
      <c r="F74" s="33"/>
      <c r="I74" s="62" t="s">
        <v>37</v>
      </c>
      <c r="J74" s="202" t="s">
        <v>90</v>
      </c>
      <c r="K74" s="202"/>
      <c r="L74" s="202"/>
      <c r="M74" s="202"/>
      <c r="N74" s="202"/>
    </row>
    <row r="75" spans="1:14">
      <c r="I75" s="63" t="s">
        <v>40</v>
      </c>
      <c r="J75" s="203" t="s">
        <v>91</v>
      </c>
      <c r="K75" s="203"/>
      <c r="L75" s="203"/>
      <c r="M75" s="203"/>
      <c r="N75" s="203"/>
    </row>
    <row r="77" spans="1:14">
      <c r="I77" s="201" t="s">
        <v>92</v>
      </c>
      <c r="J77" s="201"/>
      <c r="K77" s="201"/>
      <c r="L77" s="201"/>
      <c r="M77" s="201"/>
      <c r="N77" s="201"/>
    </row>
    <row r="78" spans="1:14">
      <c r="I78" s="62" t="s">
        <v>31</v>
      </c>
      <c r="J78" s="202" t="s">
        <v>32</v>
      </c>
      <c r="K78" s="202"/>
      <c r="L78" s="202"/>
      <c r="M78" s="202"/>
      <c r="N78" s="202"/>
    </row>
    <row r="79" spans="1:14">
      <c r="I79" s="63" t="s">
        <v>34</v>
      </c>
      <c r="J79" s="203" t="s">
        <v>93</v>
      </c>
      <c r="K79" s="203"/>
      <c r="L79" s="203"/>
      <c r="M79" s="203"/>
      <c r="N79" s="203"/>
    </row>
    <row r="80" spans="1:14">
      <c r="I80" s="62" t="s">
        <v>37</v>
      </c>
      <c r="J80" s="202" t="s">
        <v>94</v>
      </c>
      <c r="K80" s="202"/>
      <c r="L80" s="202"/>
      <c r="M80" s="202"/>
      <c r="N80" s="202"/>
    </row>
    <row r="81" spans="9:14">
      <c r="I81" s="63" t="s">
        <v>40</v>
      </c>
      <c r="J81" s="203" t="s">
        <v>95</v>
      </c>
      <c r="K81" s="203"/>
      <c r="L81" s="203"/>
      <c r="M81" s="203"/>
      <c r="N81" s="203"/>
    </row>
  </sheetData>
  <sheetProtection password="C6EA" sheet="1" objects="1" scenarios="1" formatCells="0" selectLockedCells="1"/>
  <mergeCells count="51">
    <mergeCell ref="I71:N71"/>
    <mergeCell ref="J72:N72"/>
    <mergeCell ref="J73:N73"/>
    <mergeCell ref="J74:N74"/>
    <mergeCell ref="J75:N75"/>
    <mergeCell ref="I77:N77"/>
    <mergeCell ref="J78:N78"/>
    <mergeCell ref="J79:N79"/>
    <mergeCell ref="J80:N80"/>
    <mergeCell ref="J81:N81"/>
    <mergeCell ref="A9:G9"/>
    <mergeCell ref="A16:C16"/>
    <mergeCell ref="A15:C15"/>
    <mergeCell ref="A49:G49"/>
    <mergeCell ref="A20:F20"/>
    <mergeCell ref="A21:F21"/>
    <mergeCell ref="A37:B37"/>
    <mergeCell ref="A38:B38"/>
    <mergeCell ref="A39:B39"/>
    <mergeCell ref="A40:B40"/>
    <mergeCell ref="A29:B29"/>
    <mergeCell ref="E28:F28"/>
    <mergeCell ref="A11:D11"/>
    <mergeCell ref="A12:C12"/>
    <mergeCell ref="A13:C13"/>
    <mergeCell ref="A17:C17"/>
    <mergeCell ref="A23:B23"/>
    <mergeCell ref="A22:B22"/>
    <mergeCell ref="A24:B24"/>
    <mergeCell ref="A25:B25"/>
    <mergeCell ref="A68:F68"/>
    <mergeCell ref="A30:B30"/>
    <mergeCell ref="A33:B33"/>
    <mergeCell ref="A47:F47"/>
    <mergeCell ref="A41:B41"/>
    <mergeCell ref="A42:B42"/>
    <mergeCell ref="A36:F36"/>
    <mergeCell ref="A32:B32"/>
    <mergeCell ref="A31:B31"/>
    <mergeCell ref="A26:B26"/>
    <mergeCell ref="A28:B28"/>
    <mergeCell ref="I25:N25"/>
    <mergeCell ref="J26:N26"/>
    <mergeCell ref="J27:N27"/>
    <mergeCell ref="J28:N28"/>
    <mergeCell ref="J35:N35"/>
    <mergeCell ref="J29:N29"/>
    <mergeCell ref="I31:N31"/>
    <mergeCell ref="J32:N32"/>
    <mergeCell ref="J33:N33"/>
    <mergeCell ref="J34:N34"/>
  </mergeCells>
  <phoneticPr fontId="0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7BD8C-C097-4C38-A022-4CE57B133611}">
  <sheetPr>
    <tabColor theme="0"/>
  </sheetPr>
  <dimension ref="A1:AI131"/>
  <sheetViews>
    <sheetView topLeftCell="AA107" zoomScaleNormal="100" workbookViewId="0">
      <selection activeCell="AA23" sqref="AA23"/>
    </sheetView>
  </sheetViews>
  <sheetFormatPr defaultColWidth="9.109375" defaultRowHeight="14.4"/>
  <cols>
    <col min="1" max="1" width="31.77734375" hidden="1" customWidth="1"/>
    <col min="2" max="3" width="86.109375" hidden="1" customWidth="1"/>
    <col min="4" max="4" width="60.44140625" hidden="1" customWidth="1"/>
    <col min="5" max="6" width="12.44140625" hidden="1" customWidth="1"/>
    <col min="7" max="8" width="8.6640625" hidden="1" customWidth="1"/>
    <col min="9" max="9" width="14.109375" hidden="1" customWidth="1"/>
    <col min="10" max="10" width="26.77734375" hidden="1" customWidth="1"/>
    <col min="11" max="13" width="11.44140625" hidden="1" customWidth="1"/>
    <col min="14" max="16" width="18" hidden="1" customWidth="1"/>
    <col min="17" max="17" width="18.77734375" hidden="1" customWidth="1"/>
    <col min="18" max="18" width="24.77734375" hidden="1" customWidth="1"/>
    <col min="19" max="19" width="16.6640625" hidden="1" customWidth="1"/>
    <col min="20" max="21" width="11.44140625" hidden="1" customWidth="1"/>
    <col min="22" max="23" width="77.77734375" hidden="1" customWidth="1"/>
    <col min="25" max="25" width="19.109375" bestFit="1" customWidth="1"/>
    <col min="26" max="26" width="37.77734375" bestFit="1" customWidth="1"/>
    <col min="27" max="27" width="136" customWidth="1"/>
    <col min="28" max="28" width="62.33203125" bestFit="1" customWidth="1"/>
    <col min="29" max="29" width="11.44140625" bestFit="1" customWidth="1"/>
  </cols>
  <sheetData>
    <row r="1" spans="1:35">
      <c r="X1" s="106"/>
      <c r="Y1" s="106"/>
      <c r="Z1" s="106"/>
      <c r="AA1" s="106"/>
      <c r="AB1" s="106"/>
      <c r="AC1" s="109"/>
      <c r="AD1" s="108"/>
      <c r="AE1" s="106"/>
      <c r="AF1" s="106"/>
      <c r="AG1" s="106"/>
      <c r="AH1" s="106"/>
      <c r="AI1" s="106"/>
    </row>
    <row r="2" spans="1:35"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X2" s="106"/>
      <c r="Y2" s="106"/>
      <c r="Z2" s="223" t="s">
        <v>96</v>
      </c>
      <c r="AA2" s="224"/>
      <c r="AB2" s="106"/>
      <c r="AC2" s="106"/>
      <c r="AD2" s="108"/>
      <c r="AE2" s="106"/>
      <c r="AF2" s="106"/>
      <c r="AG2" s="106"/>
      <c r="AH2" s="106"/>
      <c r="AI2" s="106"/>
    </row>
    <row r="3" spans="1:35" ht="15" customHeight="1">
      <c r="A3" s="97" t="s">
        <v>97</v>
      </c>
      <c r="B3" s="97" t="s">
        <v>98</v>
      </c>
      <c r="C3" s="97" t="s">
        <v>99</v>
      </c>
      <c r="D3" s="97" t="s">
        <v>100</v>
      </c>
      <c r="E3" s="97" t="s">
        <v>101</v>
      </c>
      <c r="F3" s="97" t="s">
        <v>295</v>
      </c>
      <c r="G3" s="97" t="s">
        <v>102</v>
      </c>
      <c r="H3" s="97" t="s">
        <v>103</v>
      </c>
      <c r="I3" s="97" t="s">
        <v>104</v>
      </c>
      <c r="J3" s="97" t="s">
        <v>105</v>
      </c>
      <c r="K3" s="97" t="s">
        <v>106</v>
      </c>
      <c r="L3" s="97" t="s">
        <v>107</v>
      </c>
      <c r="M3" s="97" t="s">
        <v>108</v>
      </c>
      <c r="N3" s="97" t="s">
        <v>109</v>
      </c>
      <c r="O3" s="97" t="s">
        <v>110</v>
      </c>
      <c r="P3" s="97" t="s">
        <v>301</v>
      </c>
      <c r="Q3" s="97" t="s">
        <v>303</v>
      </c>
      <c r="R3" s="97" t="s">
        <v>299</v>
      </c>
      <c r="S3" s="97" t="s">
        <v>300</v>
      </c>
      <c r="T3" s="97" t="s">
        <v>111</v>
      </c>
      <c r="U3" s="97" t="s">
        <v>112</v>
      </c>
      <c r="V3" s="97" t="s">
        <v>113</v>
      </c>
      <c r="W3" s="97" t="s">
        <v>114</v>
      </c>
      <c r="X3" s="106"/>
      <c r="Y3" s="106"/>
      <c r="Z3" s="225" t="s">
        <v>115</v>
      </c>
      <c r="AA3" s="226"/>
      <c r="AB3" s="106"/>
      <c r="AC3" s="106"/>
      <c r="AD3" s="108"/>
      <c r="AE3" s="106"/>
      <c r="AF3" s="106"/>
      <c r="AG3" s="106"/>
      <c r="AH3" s="106"/>
      <c r="AI3" s="106"/>
    </row>
    <row r="4" spans="1:35" ht="15" customHeight="1">
      <c r="A4" s="9" t="s">
        <v>116</v>
      </c>
      <c r="B4" s="105" t="str">
        <f>_xlfn.CONCAT("Sexo:",E4, "_Nutriz:",F4, "_Gestante:",G4, "_Idade:",H4,"_Atividade:",I4,"_Tri:",O4,  "_MesPosParto:", P4)</f>
        <v>Sexo:Masculino_Nutriz:Nao_Gestante:Nao_Idade:19≤_Atividade:Inativo_Tri:Nao_MesPosParto:Nao</v>
      </c>
      <c r="C4" s="160" t="s">
        <v>379</v>
      </c>
      <c r="D4" s="96" t="s">
        <v>118</v>
      </c>
      <c r="E4" s="105" t="s">
        <v>378</v>
      </c>
      <c r="F4" s="105" t="s">
        <v>298</v>
      </c>
      <c r="G4" s="105" t="s">
        <v>298</v>
      </c>
      <c r="H4" s="105" t="s">
        <v>121</v>
      </c>
      <c r="I4" s="9" t="s">
        <v>122</v>
      </c>
      <c r="J4" s="9">
        <v>753.07</v>
      </c>
      <c r="K4" s="9">
        <v>-10.83</v>
      </c>
      <c r="L4" s="9">
        <v>6.5</v>
      </c>
      <c r="M4" s="98">
        <v>14.1</v>
      </c>
      <c r="N4" s="9">
        <v>0</v>
      </c>
      <c r="O4" s="9" t="s">
        <v>298</v>
      </c>
      <c r="P4" s="9" t="s">
        <v>298</v>
      </c>
      <c r="Q4" s="9" t="s">
        <v>298</v>
      </c>
      <c r="R4" s="9">
        <v>0</v>
      </c>
      <c r="S4" s="9">
        <v>0</v>
      </c>
      <c r="T4" s="9">
        <v>339</v>
      </c>
      <c r="U4">
        <f t="shared" ref="U4:U31" si="0">J4+(K4*$AA$20)+(L4*$AA$22)+(M4*$AA$21)</f>
        <v>2579.6400000000003</v>
      </c>
      <c r="V4" s="9" t="str">
        <f>_xlfn.CONCAT(J4, IF(K4&lt;0, " - ", " + "), "(", IF(K4&lt;0,K4*-1,K4), "*idade)", IF(L4&lt;0, " - ", " + "), "(", IF(L4&lt;0,L4*-1,L4), "*altura)", IF(M4&lt;0, " - ", " + "), "(", IF(M4&lt;0,M4*-1,M4), "*peso)", )</f>
        <v>753,07 - (10,83*idade) + (6,5*altura) + (14,1*peso)</v>
      </c>
      <c r="W4" s="99" t="s">
        <v>329</v>
      </c>
      <c r="X4" s="106"/>
      <c r="Y4" s="106"/>
      <c r="Z4" s="227"/>
      <c r="AA4" s="228"/>
      <c r="AB4" s="106"/>
      <c r="AC4" s="106"/>
      <c r="AD4" s="108"/>
      <c r="AE4" s="106"/>
      <c r="AF4" s="106"/>
      <c r="AG4" s="106"/>
      <c r="AH4" s="106"/>
      <c r="AI4" s="106"/>
    </row>
    <row r="5" spans="1:35" ht="15" customHeight="1">
      <c r="A5" s="9" t="s">
        <v>116</v>
      </c>
      <c r="B5" s="105" t="str">
        <f t="shared" ref="B5:B55" si="1">_xlfn.CONCAT("Sexo:",E5, "_Nutriz:",F5, "_Gestante:",G5, "_Idade:",H5,"_Atividade:",I5,"_Tri:",O5,  "_MesPosParto:", P5)</f>
        <v>Sexo:Masculino_Nutriz:Nao_Gestante:Nao_Idade:19≤_Atividade:Pouco ativo_Tri:Nao_MesPosParto:Nao</v>
      </c>
      <c r="C5" s="160" t="s">
        <v>380</v>
      </c>
      <c r="D5" s="96" t="s">
        <v>118</v>
      </c>
      <c r="E5" s="105" t="s">
        <v>378</v>
      </c>
      <c r="F5" s="105" t="s">
        <v>298</v>
      </c>
      <c r="G5" s="105" t="s">
        <v>298</v>
      </c>
      <c r="H5" s="105" t="s">
        <v>121</v>
      </c>
      <c r="I5" s="9" t="s">
        <v>125</v>
      </c>
      <c r="J5" s="9">
        <v>581.47</v>
      </c>
      <c r="K5" s="9">
        <v>-10.83</v>
      </c>
      <c r="L5" s="9">
        <v>8.3000000000000007</v>
      </c>
      <c r="M5" s="9">
        <v>14.94</v>
      </c>
      <c r="N5" s="9">
        <v>0</v>
      </c>
      <c r="O5" s="9" t="s">
        <v>298</v>
      </c>
      <c r="P5" s="9" t="s">
        <v>298</v>
      </c>
      <c r="Q5" s="9" t="s">
        <v>298</v>
      </c>
      <c r="R5" s="9">
        <v>0</v>
      </c>
      <c r="S5" s="9">
        <v>0</v>
      </c>
      <c r="T5" s="9">
        <v>339</v>
      </c>
      <c r="U5">
        <f t="shared" si="0"/>
        <v>2777.6400000000003</v>
      </c>
      <c r="V5" s="9" t="str">
        <f t="shared" ref="V5:V31" si="2">_xlfn.CONCAT(J5, IF(K5&lt;0, " - ", " + "), "(", IF(K5&lt;0,K5*-1,K5), "*idade)", IF(L5&lt;0, " - ", " + "), "(", IF(L5&lt;0,L5*-1,L5), "*altura)", IF(M5&lt;0, " - ", " + "), "(", IF(M5&lt;0,M5*-1,M5), "*peso)", )</f>
        <v>581,47 - (10,83*idade) + (8,3*altura) + (14,94*peso)</v>
      </c>
      <c r="W5" s="99" t="s">
        <v>330</v>
      </c>
      <c r="X5" s="106"/>
      <c r="Y5" s="106"/>
      <c r="Z5" s="227"/>
      <c r="AA5" s="228"/>
      <c r="AB5" s="106"/>
      <c r="AC5" s="106"/>
      <c r="AD5" s="108"/>
      <c r="AE5" s="106"/>
      <c r="AF5" s="106"/>
      <c r="AG5" s="106"/>
      <c r="AH5" s="106"/>
      <c r="AI5" s="106"/>
    </row>
    <row r="6" spans="1:35" ht="15" customHeight="1">
      <c r="A6" s="9" t="s">
        <v>116</v>
      </c>
      <c r="B6" s="105" t="str">
        <f t="shared" si="1"/>
        <v>Sexo:Masculino_Nutriz:Nao_Gestante:Nao_Idade:19≤_Atividade:Ativo_Tri:Nao_MesPosParto:Nao</v>
      </c>
      <c r="C6" s="160" t="s">
        <v>381</v>
      </c>
      <c r="D6" s="96" t="s">
        <v>118</v>
      </c>
      <c r="E6" s="105" t="s">
        <v>378</v>
      </c>
      <c r="F6" s="105" t="s">
        <v>298</v>
      </c>
      <c r="G6" s="105" t="s">
        <v>298</v>
      </c>
      <c r="H6" s="105" t="s">
        <v>121</v>
      </c>
      <c r="I6" s="9" t="s">
        <v>37</v>
      </c>
      <c r="J6" s="9">
        <v>1004.82</v>
      </c>
      <c r="K6" s="9">
        <v>-10.83</v>
      </c>
      <c r="L6" s="9">
        <v>6.52</v>
      </c>
      <c r="M6" s="9">
        <v>15.91</v>
      </c>
      <c r="N6" s="9">
        <v>0</v>
      </c>
      <c r="O6" s="9" t="s">
        <v>298</v>
      </c>
      <c r="P6" s="9" t="s">
        <v>298</v>
      </c>
      <c r="Q6" s="9" t="s">
        <v>298</v>
      </c>
      <c r="R6" s="9">
        <v>0</v>
      </c>
      <c r="S6" s="9">
        <v>0</v>
      </c>
      <c r="T6" s="9">
        <v>339</v>
      </c>
      <c r="U6">
        <f t="shared" si="0"/>
        <v>2952.54</v>
      </c>
      <c r="V6" s="9" t="str">
        <f t="shared" si="2"/>
        <v>1004,82 - (10,83*idade) + (6,52*altura) + (15,91*peso)</v>
      </c>
      <c r="W6" s="99" t="s">
        <v>331</v>
      </c>
      <c r="X6" s="106"/>
      <c r="Y6" s="106"/>
      <c r="Z6" s="227"/>
      <c r="AA6" s="228"/>
      <c r="AB6" s="106"/>
      <c r="AC6" s="106"/>
      <c r="AD6" s="108"/>
      <c r="AE6" s="106"/>
      <c r="AF6" s="106"/>
      <c r="AG6" s="106"/>
      <c r="AH6" s="106"/>
      <c r="AI6" s="106"/>
    </row>
    <row r="7" spans="1:35" ht="15" customHeight="1">
      <c r="A7" s="9" t="s">
        <v>116</v>
      </c>
      <c r="B7" s="105" t="str">
        <f t="shared" si="1"/>
        <v>Sexo:Masculino_Nutriz:Nao_Gestante:Nao_Idade:19≤_Atividade:Muito ativo_Tri:Nao_MesPosParto:Nao</v>
      </c>
      <c r="C7" s="160" t="s">
        <v>382</v>
      </c>
      <c r="D7" s="96" t="s">
        <v>118</v>
      </c>
      <c r="E7" s="105" t="s">
        <v>378</v>
      </c>
      <c r="F7" s="105" t="s">
        <v>298</v>
      </c>
      <c r="G7" s="105" t="s">
        <v>298</v>
      </c>
      <c r="H7" s="105" t="s">
        <v>121</v>
      </c>
      <c r="I7" s="9" t="s">
        <v>130</v>
      </c>
      <c r="J7" s="9">
        <v>-517.88</v>
      </c>
      <c r="K7" s="9">
        <v>-10.83</v>
      </c>
      <c r="L7" s="9">
        <v>15.61</v>
      </c>
      <c r="M7" s="9">
        <v>19.11</v>
      </c>
      <c r="N7" s="9">
        <v>0</v>
      </c>
      <c r="O7" s="9" t="s">
        <v>298</v>
      </c>
      <c r="P7" s="9" t="s">
        <v>298</v>
      </c>
      <c r="Q7" s="9" t="s">
        <v>298</v>
      </c>
      <c r="R7" s="9">
        <v>0</v>
      </c>
      <c r="S7" s="9">
        <v>0</v>
      </c>
      <c r="T7" s="9">
        <v>339</v>
      </c>
      <c r="U7">
        <f t="shared" si="0"/>
        <v>3228.59</v>
      </c>
      <c r="V7" s="9" t="str">
        <f t="shared" si="2"/>
        <v>-517,88 - (10,83*idade) + (15,61*altura) + (19,11*peso)</v>
      </c>
      <c r="W7" s="99" t="s">
        <v>332</v>
      </c>
      <c r="X7" s="106"/>
      <c r="Y7" s="106"/>
      <c r="Z7" s="227"/>
      <c r="AA7" s="228"/>
      <c r="AC7" s="106"/>
      <c r="AD7" s="108"/>
      <c r="AE7" s="106"/>
      <c r="AF7" s="106"/>
      <c r="AG7" s="106"/>
      <c r="AH7" s="106"/>
      <c r="AI7" s="106"/>
    </row>
    <row r="8" spans="1:35" ht="15" customHeight="1">
      <c r="A8" s="9" t="s">
        <v>116</v>
      </c>
      <c r="B8" s="105" t="str">
        <f t="shared" si="1"/>
        <v>Sexo:Feminino_Nutriz:Nao_Gestante:Nao_Idade:19≤_Atividade:Inativo_Tri:Nao_MesPosParto:Nao</v>
      </c>
      <c r="C8" s="160" t="s">
        <v>383</v>
      </c>
      <c r="D8" s="96" t="s">
        <v>133</v>
      </c>
      <c r="E8" s="105" t="s">
        <v>153</v>
      </c>
      <c r="F8" s="105" t="s">
        <v>298</v>
      </c>
      <c r="G8" s="105" t="s">
        <v>298</v>
      </c>
      <c r="H8" s="105" t="s">
        <v>121</v>
      </c>
      <c r="I8" s="9" t="s">
        <v>122</v>
      </c>
      <c r="J8" s="9">
        <v>584.9</v>
      </c>
      <c r="K8" s="9">
        <v>-7.01</v>
      </c>
      <c r="L8" s="9">
        <v>5.72</v>
      </c>
      <c r="M8" s="9">
        <v>11.71</v>
      </c>
      <c r="N8" s="9">
        <v>0</v>
      </c>
      <c r="O8" s="9" t="s">
        <v>298</v>
      </c>
      <c r="P8" s="9" t="s">
        <v>298</v>
      </c>
      <c r="Q8" s="9" t="s">
        <v>298</v>
      </c>
      <c r="R8" s="9">
        <v>0</v>
      </c>
      <c r="S8" s="9">
        <v>0</v>
      </c>
      <c r="T8" s="9">
        <v>246</v>
      </c>
      <c r="U8">
        <f t="shared" si="0"/>
        <v>2199.84</v>
      </c>
      <c r="V8" s="9" t="str">
        <f t="shared" si="2"/>
        <v>584,9 - (7,01*idade) + (5,72*altura) + (11,71*peso)</v>
      </c>
      <c r="W8" s="99" t="s">
        <v>333</v>
      </c>
      <c r="X8" s="106"/>
      <c r="Y8" s="106"/>
      <c r="Z8" s="227"/>
      <c r="AA8" s="228"/>
      <c r="AB8" s="106"/>
      <c r="AC8" s="106"/>
      <c r="AD8" s="108"/>
      <c r="AE8" s="106"/>
      <c r="AF8" s="106"/>
      <c r="AG8" s="106"/>
      <c r="AH8" s="106"/>
      <c r="AI8" s="106"/>
    </row>
    <row r="9" spans="1:35" ht="15" customHeight="1">
      <c r="A9" s="9" t="s">
        <v>116</v>
      </c>
      <c r="B9" s="105" t="str">
        <f t="shared" si="1"/>
        <v>Sexo:Feminino_Nutriz:Nao_Gestante:Nao_Idade:19≤_Atividade:Pouco ativo_Tri:Nao_MesPosParto:Nao</v>
      </c>
      <c r="C9" s="160" t="s">
        <v>384</v>
      </c>
      <c r="D9" s="96" t="s">
        <v>133</v>
      </c>
      <c r="E9" s="105" t="s">
        <v>153</v>
      </c>
      <c r="F9" s="105" t="s">
        <v>298</v>
      </c>
      <c r="G9" s="105" t="s">
        <v>298</v>
      </c>
      <c r="H9" s="105" t="s">
        <v>121</v>
      </c>
      <c r="I9" s="9" t="s">
        <v>125</v>
      </c>
      <c r="J9" s="9">
        <v>575.77</v>
      </c>
      <c r="K9" s="9">
        <v>-7.01</v>
      </c>
      <c r="L9" s="9">
        <v>6.6</v>
      </c>
      <c r="M9" s="9">
        <v>12.14</v>
      </c>
      <c r="N9" s="9">
        <v>0</v>
      </c>
      <c r="O9" s="9" t="s">
        <v>298</v>
      </c>
      <c r="P9" s="9" t="s">
        <v>298</v>
      </c>
      <c r="Q9" s="9" t="s">
        <v>298</v>
      </c>
      <c r="R9" s="9">
        <v>0</v>
      </c>
      <c r="S9" s="9">
        <v>0</v>
      </c>
      <c r="T9" s="9">
        <v>246</v>
      </c>
      <c r="U9">
        <f t="shared" si="0"/>
        <v>2372.66</v>
      </c>
      <c r="V9" s="9" t="str">
        <f t="shared" si="2"/>
        <v>575,77 - (7,01*idade) + (6,6*altura) + (12,14*peso)</v>
      </c>
      <c r="W9" s="99" t="s">
        <v>334</v>
      </c>
      <c r="X9" s="106"/>
      <c r="Y9" s="106"/>
      <c r="Z9" s="227"/>
      <c r="AA9" s="228"/>
      <c r="AB9" s="106"/>
      <c r="AC9" s="106"/>
      <c r="AD9" s="108"/>
      <c r="AE9" s="106"/>
      <c r="AF9" s="106"/>
      <c r="AG9" s="106"/>
      <c r="AH9" s="106"/>
      <c r="AI9" s="106"/>
    </row>
    <row r="10" spans="1:35" ht="12.75" customHeight="1">
      <c r="A10" s="9" t="s">
        <v>116</v>
      </c>
      <c r="B10" s="105" t="str">
        <f t="shared" si="1"/>
        <v>Sexo:Feminino_Nutriz:Nao_Gestante:Nao_Idade:19≤_Atividade:Ativo_Tri:Nao_MesPosParto:Nao</v>
      </c>
      <c r="C10" s="160" t="s">
        <v>385</v>
      </c>
      <c r="D10" s="96" t="s">
        <v>133</v>
      </c>
      <c r="E10" s="105" t="s">
        <v>153</v>
      </c>
      <c r="F10" s="105" t="s">
        <v>298</v>
      </c>
      <c r="G10" s="105" t="s">
        <v>298</v>
      </c>
      <c r="H10" s="105" t="s">
        <v>121</v>
      </c>
      <c r="I10" s="9" t="s">
        <v>37</v>
      </c>
      <c r="J10" s="9">
        <v>710.25</v>
      </c>
      <c r="K10" s="9">
        <v>-7.01</v>
      </c>
      <c r="L10" s="9">
        <v>6.54</v>
      </c>
      <c r="M10" s="9">
        <v>12.34</v>
      </c>
      <c r="N10" s="9">
        <v>0</v>
      </c>
      <c r="O10" s="9" t="s">
        <v>298</v>
      </c>
      <c r="P10" s="9" t="s">
        <v>298</v>
      </c>
      <c r="Q10" s="9" t="s">
        <v>298</v>
      </c>
      <c r="R10" s="9">
        <v>0</v>
      </c>
      <c r="S10" s="9">
        <v>0</v>
      </c>
      <c r="T10" s="9">
        <v>246</v>
      </c>
      <c r="U10">
        <f t="shared" si="0"/>
        <v>2509.64</v>
      </c>
      <c r="V10" s="9" t="str">
        <f t="shared" si="2"/>
        <v>710,25 - (7,01*idade) + (6,54*altura) + (12,34*peso)</v>
      </c>
      <c r="W10" s="99" t="s">
        <v>335</v>
      </c>
      <c r="X10" s="106"/>
      <c r="Y10" s="106"/>
      <c r="Z10" s="229"/>
      <c r="AA10" s="230"/>
      <c r="AB10" s="106"/>
      <c r="AC10" s="106"/>
      <c r="AD10" s="108"/>
      <c r="AE10" s="106"/>
      <c r="AF10" s="106"/>
      <c r="AG10" s="106"/>
      <c r="AH10" s="106"/>
      <c r="AI10" s="106"/>
    </row>
    <row r="11" spans="1:35" ht="36.6">
      <c r="A11" s="105" t="s">
        <v>116</v>
      </c>
      <c r="B11" s="105" t="str">
        <f t="shared" si="1"/>
        <v>Sexo:Feminino_Nutriz:Nao_Gestante:Nao_Idade:19≤_Atividade:Muito ativo_Tri:Nao_MesPosParto:Nao</v>
      </c>
      <c r="C11" s="160" t="s">
        <v>386</v>
      </c>
      <c r="D11" s="162" t="s">
        <v>133</v>
      </c>
      <c r="E11" s="105" t="s">
        <v>153</v>
      </c>
      <c r="F11" s="105" t="s">
        <v>298</v>
      </c>
      <c r="G11" s="105" t="s">
        <v>298</v>
      </c>
      <c r="H11" s="105" t="s">
        <v>121</v>
      </c>
      <c r="I11" s="105" t="s">
        <v>130</v>
      </c>
      <c r="J11" s="105">
        <v>511.83</v>
      </c>
      <c r="K11" s="105">
        <v>-7.01</v>
      </c>
      <c r="L11" s="105">
        <v>9.07</v>
      </c>
      <c r="M11" s="105">
        <v>12.56</v>
      </c>
      <c r="N11" s="105">
        <v>0</v>
      </c>
      <c r="O11" s="105" t="s">
        <v>298</v>
      </c>
      <c r="P11" s="105" t="s">
        <v>298</v>
      </c>
      <c r="Q11" s="105" t="s">
        <v>298</v>
      </c>
      <c r="R11" s="105">
        <v>0</v>
      </c>
      <c r="S11" s="105">
        <v>0</v>
      </c>
      <c r="T11" s="105">
        <v>246</v>
      </c>
      <c r="U11" s="161">
        <f t="shared" si="0"/>
        <v>2768.27</v>
      </c>
      <c r="V11" s="105" t="str">
        <f t="shared" si="2"/>
        <v>511,83 - (7,01*idade) + (9,07*altura) + (12,56*peso)</v>
      </c>
      <c r="W11" s="160" t="s">
        <v>336</v>
      </c>
      <c r="X11" s="106"/>
      <c r="Y11" s="106"/>
      <c r="Z11" s="231" t="s">
        <v>142</v>
      </c>
      <c r="AA11" s="232"/>
      <c r="AB11" s="106"/>
      <c r="AC11" s="106"/>
      <c r="AD11" s="108"/>
      <c r="AE11" s="106"/>
      <c r="AF11" s="106"/>
      <c r="AG11" s="106"/>
      <c r="AH11" s="106"/>
      <c r="AI11" s="106"/>
    </row>
    <row r="12" spans="1:35">
      <c r="A12" s="9" t="s">
        <v>116</v>
      </c>
      <c r="B12" s="105" t="str">
        <f t="shared" si="1"/>
        <v>Sexo:Masculino_Nutriz:Nao_Gestante:Nao_Idade:3a18_Atividade:Inativo_Tri:Nao_MesPosParto:Nao</v>
      </c>
      <c r="C12" s="160" t="s">
        <v>387</v>
      </c>
      <c r="D12" s="96" t="s">
        <v>144</v>
      </c>
      <c r="E12" s="105" t="s">
        <v>378</v>
      </c>
      <c r="F12" s="105" t="s">
        <v>298</v>
      </c>
      <c r="G12" s="105" t="s">
        <v>298</v>
      </c>
      <c r="H12" s="105" t="s">
        <v>145</v>
      </c>
      <c r="I12" s="9" t="s">
        <v>122</v>
      </c>
      <c r="J12" s="9">
        <v>-447.51</v>
      </c>
      <c r="K12" s="9">
        <v>3.68</v>
      </c>
      <c r="L12" s="9">
        <v>13.01</v>
      </c>
      <c r="M12" s="9">
        <v>13.15</v>
      </c>
      <c r="N12" s="9">
        <v>0</v>
      </c>
      <c r="O12" s="9" t="s">
        <v>298</v>
      </c>
      <c r="P12" s="9" t="s">
        <v>298</v>
      </c>
      <c r="Q12" s="9" t="s">
        <v>298</v>
      </c>
      <c r="R12" s="9">
        <v>0</v>
      </c>
      <c r="S12" s="9">
        <v>0</v>
      </c>
      <c r="T12" s="9">
        <v>259</v>
      </c>
      <c r="U12">
        <f t="shared" si="0"/>
        <v>2761.27</v>
      </c>
      <c r="V12" s="9" t="str">
        <f t="shared" si="2"/>
        <v>-447,51 + (3,68*idade) + (13,01*altura) + (13,15*peso)</v>
      </c>
      <c r="W12" s="99" t="s">
        <v>337</v>
      </c>
      <c r="X12" s="110"/>
      <c r="Y12" s="106"/>
      <c r="Z12" s="233" t="s">
        <v>50</v>
      </c>
      <c r="AA12" s="233"/>
      <c r="AB12" s="106"/>
      <c r="AC12" s="106"/>
      <c r="AD12" s="108"/>
      <c r="AE12" s="106"/>
      <c r="AF12" s="106"/>
      <c r="AG12" s="106"/>
      <c r="AH12" s="106"/>
      <c r="AI12" s="106"/>
    </row>
    <row r="13" spans="1:35">
      <c r="A13" s="9" t="s">
        <v>116</v>
      </c>
      <c r="B13" s="105" t="str">
        <f t="shared" si="1"/>
        <v>Sexo:Masculino_Nutriz:Nao_Gestante:Nao_Idade:3a18_Atividade:Pouco ativo_Tri:Nao_MesPosParto:Nao</v>
      </c>
      <c r="C13" s="160" t="s">
        <v>388</v>
      </c>
      <c r="D13" s="96" t="s">
        <v>144</v>
      </c>
      <c r="E13" s="105" t="s">
        <v>378</v>
      </c>
      <c r="F13" s="105" t="s">
        <v>298</v>
      </c>
      <c r="G13" s="105" t="s">
        <v>298</v>
      </c>
      <c r="H13" s="105" t="s">
        <v>145</v>
      </c>
      <c r="I13" s="9" t="s">
        <v>125</v>
      </c>
      <c r="J13" s="9">
        <v>19.12</v>
      </c>
      <c r="K13" s="9">
        <v>3.68</v>
      </c>
      <c r="L13" s="9">
        <v>8.6199999999999992</v>
      </c>
      <c r="M13" s="9">
        <v>20.28</v>
      </c>
      <c r="N13" s="9">
        <v>0</v>
      </c>
      <c r="O13" s="9" t="s">
        <v>298</v>
      </c>
      <c r="P13" s="9" t="s">
        <v>298</v>
      </c>
      <c r="Q13" s="9" t="s">
        <v>298</v>
      </c>
      <c r="R13" s="9">
        <v>0</v>
      </c>
      <c r="S13" s="9">
        <v>0</v>
      </c>
      <c r="T13" s="9">
        <v>259</v>
      </c>
      <c r="U13">
        <f t="shared" si="0"/>
        <v>2923.1</v>
      </c>
      <c r="V13" s="9" t="str">
        <f t="shared" si="2"/>
        <v>19,12 + (3,68*idade) + (8,62*altura) + (20,28*peso)</v>
      </c>
      <c r="W13" s="99" t="s">
        <v>338</v>
      </c>
      <c r="X13" s="106"/>
      <c r="Y13" s="106"/>
      <c r="Z13" s="106"/>
      <c r="AA13" s="106"/>
      <c r="AB13" s="106"/>
      <c r="AC13" s="109"/>
      <c r="AD13" s="108"/>
      <c r="AE13" s="106"/>
      <c r="AF13" s="106"/>
      <c r="AG13" s="106"/>
      <c r="AH13" s="106"/>
      <c r="AI13" s="106"/>
    </row>
    <row r="14" spans="1:35" ht="21">
      <c r="A14" s="9" t="s">
        <v>116</v>
      </c>
      <c r="B14" s="105" t="str">
        <f t="shared" si="1"/>
        <v>Sexo:Masculino_Nutriz:Nao_Gestante:Nao_Idade:3a18_Atividade:Ativo_Tri:Nao_MesPosParto:Nao</v>
      </c>
      <c r="C14" s="160" t="s">
        <v>389</v>
      </c>
      <c r="D14" s="96" t="s">
        <v>144</v>
      </c>
      <c r="E14" s="105" t="s">
        <v>378</v>
      </c>
      <c r="F14" s="105" t="s">
        <v>298</v>
      </c>
      <c r="G14" s="105" t="s">
        <v>298</v>
      </c>
      <c r="H14" s="105" t="s">
        <v>145</v>
      </c>
      <c r="I14" s="9" t="s">
        <v>37</v>
      </c>
      <c r="J14" s="9">
        <v>-388.19</v>
      </c>
      <c r="K14" s="9">
        <v>3.68</v>
      </c>
      <c r="L14" s="9">
        <v>12.66</v>
      </c>
      <c r="M14" s="9">
        <v>20.46</v>
      </c>
      <c r="N14" s="9">
        <v>0</v>
      </c>
      <c r="O14" s="9" t="s">
        <v>298</v>
      </c>
      <c r="P14" s="9" t="s">
        <v>298</v>
      </c>
      <c r="Q14" s="9" t="s">
        <v>298</v>
      </c>
      <c r="R14" s="9">
        <v>0</v>
      </c>
      <c r="S14" s="9">
        <v>0</v>
      </c>
      <c r="T14" s="9">
        <v>259</v>
      </c>
      <c r="U14">
        <f t="shared" si="0"/>
        <v>3234.4900000000002</v>
      </c>
      <c r="V14" s="9" t="str">
        <f t="shared" si="2"/>
        <v>-388,19 + (3,68*idade) + (12,66*altura) + (20,46*peso)</v>
      </c>
      <c r="W14" s="99" t="s">
        <v>339</v>
      </c>
      <c r="X14" s="106"/>
      <c r="Y14" s="106"/>
      <c r="Z14" s="118" t="s">
        <v>152</v>
      </c>
      <c r="AA14" s="163" t="s">
        <v>153</v>
      </c>
      <c r="AB14" s="106"/>
      <c r="AC14" s="109"/>
      <c r="AD14" s="108"/>
      <c r="AE14" s="106"/>
      <c r="AF14" s="106"/>
      <c r="AG14" s="106"/>
      <c r="AH14" s="106"/>
      <c r="AI14" s="106"/>
    </row>
    <row r="15" spans="1:35" ht="21">
      <c r="A15" s="9" t="s">
        <v>116</v>
      </c>
      <c r="B15" s="105" t="str">
        <f t="shared" si="1"/>
        <v>Sexo:Masculino_Nutriz:Nao_Gestante:Nao_Idade:3a18_Atividade:Muito ativo_Tri:Nao_MesPosParto:Nao</v>
      </c>
      <c r="C15" s="160" t="s">
        <v>390</v>
      </c>
      <c r="D15" s="96" t="s">
        <v>144</v>
      </c>
      <c r="E15" s="105" t="s">
        <v>378</v>
      </c>
      <c r="F15" s="105" t="s">
        <v>298</v>
      </c>
      <c r="G15" s="105" t="s">
        <v>298</v>
      </c>
      <c r="H15" s="105" t="s">
        <v>145</v>
      </c>
      <c r="I15" s="9" t="s">
        <v>130</v>
      </c>
      <c r="J15" s="9">
        <v>-671.75</v>
      </c>
      <c r="K15" s="9">
        <v>3.68</v>
      </c>
      <c r="L15" s="9">
        <v>15.38</v>
      </c>
      <c r="M15" s="9">
        <v>23.25</v>
      </c>
      <c r="N15" s="9">
        <v>0</v>
      </c>
      <c r="O15" s="9" t="s">
        <v>298</v>
      </c>
      <c r="P15" s="9" t="s">
        <v>298</v>
      </c>
      <c r="Q15" s="9" t="s">
        <v>298</v>
      </c>
      <c r="R15" s="9">
        <v>0</v>
      </c>
      <c r="S15" s="9">
        <v>0</v>
      </c>
      <c r="T15" s="9">
        <v>259</v>
      </c>
      <c r="U15">
        <f t="shared" si="0"/>
        <v>3608.2799999999997</v>
      </c>
      <c r="V15" s="9" t="str">
        <f t="shared" si="2"/>
        <v>-671,75 + (3,68*idade) + (15,38*altura) + (23,25*peso)</v>
      </c>
      <c r="W15" s="99" t="s">
        <v>340</v>
      </c>
      <c r="X15" s="106"/>
      <c r="Y15" s="106"/>
      <c r="Z15" s="118" t="s">
        <v>351</v>
      </c>
      <c r="AA15" s="163" t="s">
        <v>157</v>
      </c>
      <c r="AB15" s="107"/>
      <c r="AC15" s="109"/>
      <c r="AD15" s="108"/>
      <c r="AE15" s="106"/>
      <c r="AF15" s="106"/>
      <c r="AG15" s="106"/>
      <c r="AH15" s="106"/>
      <c r="AI15" s="106"/>
    </row>
    <row r="16" spans="1:35" ht="21" hidden="1">
      <c r="A16" s="9" t="s">
        <v>116</v>
      </c>
      <c r="B16" s="105" t="str">
        <f t="shared" si="1"/>
        <v>Sexo:Feminino_Nutriz:Nao_Gestante:Nao_Idade:3a18_Atividade:Inativo_Tri:Nao_MesPosParto:Nao</v>
      </c>
      <c r="C16" s="160" t="s">
        <v>391</v>
      </c>
      <c r="D16" s="96" t="s">
        <v>159</v>
      </c>
      <c r="E16" s="105" t="s">
        <v>153</v>
      </c>
      <c r="F16" s="105" t="s">
        <v>298</v>
      </c>
      <c r="G16" s="105" t="s">
        <v>298</v>
      </c>
      <c r="H16" s="105" t="s">
        <v>145</v>
      </c>
      <c r="I16" s="9" t="s">
        <v>122</v>
      </c>
      <c r="J16" s="9">
        <v>55.59</v>
      </c>
      <c r="K16" s="9">
        <v>-22.25</v>
      </c>
      <c r="L16" s="9">
        <v>8.43</v>
      </c>
      <c r="M16" s="9">
        <v>17.07</v>
      </c>
      <c r="N16" s="9">
        <v>0</v>
      </c>
      <c r="O16" s="9" t="s">
        <v>298</v>
      </c>
      <c r="P16" s="9" t="s">
        <v>298</v>
      </c>
      <c r="Q16" s="9" t="s">
        <v>298</v>
      </c>
      <c r="R16" s="9">
        <v>0</v>
      </c>
      <c r="S16" s="9">
        <v>0</v>
      </c>
      <c r="T16" s="9">
        <v>237</v>
      </c>
      <c r="U16">
        <f t="shared" si="0"/>
        <v>2173.1400000000003</v>
      </c>
      <c r="V16" s="9" t="str">
        <f t="shared" si="2"/>
        <v>55,59 - (22,25*idade) + (8,43*altura) + (17,07*peso)</v>
      </c>
      <c r="W16" s="99" t="s">
        <v>341</v>
      </c>
      <c r="X16" s="106"/>
      <c r="Y16" s="106"/>
      <c r="Z16" s="118" t="s">
        <v>156</v>
      </c>
      <c r="AA16" s="164" t="s">
        <v>298</v>
      </c>
      <c r="AB16" s="106"/>
      <c r="AC16" s="109"/>
      <c r="AD16" s="108"/>
      <c r="AE16" s="106"/>
      <c r="AF16" s="106"/>
      <c r="AG16" s="106"/>
      <c r="AH16" s="106"/>
      <c r="AI16" s="106"/>
    </row>
    <row r="17" spans="1:35">
      <c r="A17" s="9" t="s">
        <v>116</v>
      </c>
      <c r="B17" s="105" t="str">
        <f t="shared" si="1"/>
        <v>Sexo:Feminino_Nutriz:Nao_Gestante:Nao_Idade:3a18_Atividade:Pouco ativo_Tri:Nao_MesPosParto:Nao</v>
      </c>
      <c r="C17" s="160" t="s">
        <v>392</v>
      </c>
      <c r="D17" s="96" t="s">
        <v>159</v>
      </c>
      <c r="E17" s="105" t="s">
        <v>153</v>
      </c>
      <c r="F17" s="105" t="s">
        <v>298</v>
      </c>
      <c r="G17" s="105" t="s">
        <v>298</v>
      </c>
      <c r="H17" s="105" t="s">
        <v>145</v>
      </c>
      <c r="I17" s="9" t="s">
        <v>125</v>
      </c>
      <c r="J17" s="9">
        <v>-297.54000000000002</v>
      </c>
      <c r="K17" s="9">
        <v>-22.25</v>
      </c>
      <c r="L17" s="9">
        <v>12.77</v>
      </c>
      <c r="M17" s="9">
        <v>14.73</v>
      </c>
      <c r="N17" s="9">
        <v>0</v>
      </c>
      <c r="O17" s="9" t="s">
        <v>298</v>
      </c>
      <c r="P17" s="9" t="s">
        <v>298</v>
      </c>
      <c r="Q17" s="9" t="s">
        <v>298</v>
      </c>
      <c r="R17" s="9">
        <v>0</v>
      </c>
      <c r="S17" s="9">
        <v>0</v>
      </c>
      <c r="T17" s="9">
        <v>237</v>
      </c>
      <c r="U17">
        <f t="shared" si="0"/>
        <v>2427.41</v>
      </c>
      <c r="V17" s="9" t="str">
        <f t="shared" si="2"/>
        <v>-297,54 - (22,25*idade) + (12,77*altura) + (14,73*peso)</v>
      </c>
      <c r="W17" s="99" t="s">
        <v>342</v>
      </c>
      <c r="X17" s="106"/>
      <c r="Y17" s="106"/>
      <c r="Z17" s="106"/>
      <c r="AA17" s="106"/>
      <c r="AB17" s="106"/>
      <c r="AC17" s="109"/>
      <c r="AD17" s="108"/>
      <c r="AE17" s="106"/>
      <c r="AF17" s="106"/>
      <c r="AG17" s="106"/>
      <c r="AH17" s="106"/>
      <c r="AI17" s="106"/>
    </row>
    <row r="18" spans="1:35" ht="21" hidden="1">
      <c r="A18" s="9" t="s">
        <v>116</v>
      </c>
      <c r="B18" s="105" t="str">
        <f t="shared" si="1"/>
        <v>Sexo:Feminino_Nutriz:Nao_Gestante:Nao_Idade:3a18_Atividade:Ativo_Tri:Nao_MesPosParto:Nao</v>
      </c>
      <c r="C18" s="160" t="s">
        <v>393</v>
      </c>
      <c r="D18" s="96" t="s">
        <v>159</v>
      </c>
      <c r="E18" s="105" t="s">
        <v>153</v>
      </c>
      <c r="F18" s="105" t="s">
        <v>298</v>
      </c>
      <c r="G18" s="105" t="s">
        <v>298</v>
      </c>
      <c r="H18" s="105" t="s">
        <v>145</v>
      </c>
      <c r="I18" s="9" t="s">
        <v>37</v>
      </c>
      <c r="J18" s="9">
        <v>-189.55</v>
      </c>
      <c r="K18" s="9">
        <v>-22.25</v>
      </c>
      <c r="L18" s="9">
        <v>11.74</v>
      </c>
      <c r="M18" s="9">
        <v>18.34</v>
      </c>
      <c r="N18" s="9">
        <v>0</v>
      </c>
      <c r="O18" s="9" t="s">
        <v>298</v>
      </c>
      <c r="P18" s="9" t="s">
        <v>298</v>
      </c>
      <c r="Q18" s="9" t="s">
        <v>298</v>
      </c>
      <c r="R18" s="9">
        <v>0</v>
      </c>
      <c r="S18" s="9">
        <v>0</v>
      </c>
      <c r="T18" s="9">
        <v>237</v>
      </c>
      <c r="U18">
        <f t="shared" si="0"/>
        <v>2589.8000000000002</v>
      </c>
      <c r="V18" s="9" t="str">
        <f t="shared" si="2"/>
        <v>-189,55 - (22,25*idade) + (11,74*altura) + (18,34*peso)</v>
      </c>
      <c r="W18" s="99" t="s">
        <v>343</v>
      </c>
      <c r="X18" s="106"/>
      <c r="Y18" s="106"/>
      <c r="Z18" s="118" t="s">
        <v>163</v>
      </c>
      <c r="AA18" s="165">
        <v>0</v>
      </c>
      <c r="AB18" s="106"/>
      <c r="AC18" s="109"/>
      <c r="AD18" s="108"/>
      <c r="AE18" s="106"/>
      <c r="AF18" s="106"/>
      <c r="AG18" s="106"/>
      <c r="AH18" s="106"/>
      <c r="AI18" s="106"/>
    </row>
    <row r="19" spans="1:35" ht="21">
      <c r="A19" s="9" t="s">
        <v>116</v>
      </c>
      <c r="B19" s="105" t="str">
        <f t="shared" si="1"/>
        <v>Sexo:Feminino_Nutriz:Nao_Gestante:Nao_Idade:3a18_Atividade:Muito ativo_Tri:Nao_MesPosParto:Nao</v>
      </c>
      <c r="C19" s="160" t="s">
        <v>394</v>
      </c>
      <c r="D19" s="96" t="s">
        <v>159</v>
      </c>
      <c r="E19" s="105" t="s">
        <v>153</v>
      </c>
      <c r="F19" s="105" t="s">
        <v>298</v>
      </c>
      <c r="G19" s="105" t="s">
        <v>298</v>
      </c>
      <c r="H19" s="105" t="s">
        <v>145</v>
      </c>
      <c r="I19" s="9" t="s">
        <v>130</v>
      </c>
      <c r="J19" s="9">
        <v>-709.59</v>
      </c>
      <c r="K19" s="9">
        <v>-22.25</v>
      </c>
      <c r="L19" s="9">
        <v>18.22</v>
      </c>
      <c r="M19" s="9">
        <v>14.25</v>
      </c>
      <c r="N19" s="9">
        <v>0</v>
      </c>
      <c r="O19" s="9" t="s">
        <v>298</v>
      </c>
      <c r="P19" s="9" t="s">
        <v>298</v>
      </c>
      <c r="Q19" s="9" t="s">
        <v>298</v>
      </c>
      <c r="R19" s="9">
        <v>0</v>
      </c>
      <c r="S19" s="9">
        <v>0</v>
      </c>
      <c r="T19" s="9">
        <v>237</v>
      </c>
      <c r="U19">
        <f t="shared" si="0"/>
        <v>2937.91</v>
      </c>
      <c r="V19" s="9" t="str">
        <f t="shared" si="2"/>
        <v>-709,59 - (22,25*idade) + (18,22*altura) + (14,25*peso)</v>
      </c>
      <c r="W19" s="99" t="s">
        <v>344</v>
      </c>
      <c r="X19" s="106"/>
      <c r="Y19" s="106"/>
      <c r="Z19" s="118" t="s">
        <v>352</v>
      </c>
      <c r="AA19" s="126">
        <v>0</v>
      </c>
      <c r="AB19" s="106"/>
      <c r="AC19" s="106"/>
      <c r="AD19" s="108"/>
      <c r="AE19" s="106"/>
      <c r="AF19" s="106"/>
      <c r="AG19" s="106"/>
      <c r="AH19" s="106"/>
      <c r="AI19" s="106"/>
    </row>
    <row r="20" spans="1:35" ht="21">
      <c r="A20" s="9" t="s">
        <v>116</v>
      </c>
      <c r="B20" s="105" t="str">
        <f t="shared" si="1"/>
        <v>Sexo:Masculino_Nutriz:Nao_Gestante:Nao_Idade:0a2_Atividade:Inativo_Tri:Nao_MesPosParto:Nao</v>
      </c>
      <c r="C20" s="160" t="s">
        <v>395</v>
      </c>
      <c r="D20" s="96" t="s">
        <v>170</v>
      </c>
      <c r="E20" s="105" t="s">
        <v>378</v>
      </c>
      <c r="F20" s="105" t="s">
        <v>298</v>
      </c>
      <c r="G20" s="105" t="s">
        <v>298</v>
      </c>
      <c r="H20" s="105" t="s">
        <v>171</v>
      </c>
      <c r="I20" s="9" t="s">
        <v>122</v>
      </c>
      <c r="J20" s="9">
        <v>-716.45</v>
      </c>
      <c r="K20" s="9">
        <v>-1</v>
      </c>
      <c r="L20" s="9">
        <v>17.82</v>
      </c>
      <c r="M20" s="9">
        <v>15.06</v>
      </c>
      <c r="N20" s="9">
        <v>0</v>
      </c>
      <c r="O20" s="9" t="s">
        <v>298</v>
      </c>
      <c r="P20" s="9" t="s">
        <v>298</v>
      </c>
      <c r="Q20" s="9" t="s">
        <v>298</v>
      </c>
      <c r="R20" s="9">
        <v>0</v>
      </c>
      <c r="S20" s="9">
        <v>0</v>
      </c>
      <c r="T20" s="9">
        <v>104</v>
      </c>
      <c r="U20">
        <f t="shared" si="0"/>
        <v>3359.9500000000003</v>
      </c>
      <c r="V20" s="9" t="str">
        <f t="shared" si="2"/>
        <v>-716,45 - (1*idade) + (17,82*altura) + (15,06*peso)</v>
      </c>
      <c r="W20" s="99" t="s">
        <v>345</v>
      </c>
      <c r="X20" s="106"/>
      <c r="Y20" s="106"/>
      <c r="Z20" s="118" t="s">
        <v>5</v>
      </c>
      <c r="AA20" s="126">
        <v>21</v>
      </c>
      <c r="AB20" s="106"/>
      <c r="AC20" s="106"/>
      <c r="AD20" s="108"/>
      <c r="AE20" s="106"/>
      <c r="AF20" s="106"/>
      <c r="AG20" s="106"/>
      <c r="AH20" s="106"/>
      <c r="AI20" s="106"/>
    </row>
    <row r="21" spans="1:35" ht="21">
      <c r="A21" s="9" t="s">
        <v>116</v>
      </c>
      <c r="B21" s="105" t="str">
        <f t="shared" si="1"/>
        <v>Sexo:Masculino_Nutriz:Nao_Gestante:Nao_Idade:0a2_Atividade:Pouco ativo_Tri:Nao_MesPosParto:Nao</v>
      </c>
      <c r="C21" s="160" t="s">
        <v>396</v>
      </c>
      <c r="D21" s="96" t="s">
        <v>170</v>
      </c>
      <c r="E21" s="105" t="s">
        <v>378</v>
      </c>
      <c r="F21" s="105" t="s">
        <v>298</v>
      </c>
      <c r="G21" s="105" t="s">
        <v>298</v>
      </c>
      <c r="H21" s="105" t="s">
        <v>171</v>
      </c>
      <c r="I21" s="9" t="s">
        <v>125</v>
      </c>
      <c r="J21" s="9">
        <v>-716.45</v>
      </c>
      <c r="K21" s="9">
        <v>-1</v>
      </c>
      <c r="L21" s="9">
        <v>17.82</v>
      </c>
      <c r="M21" s="9">
        <v>15.06</v>
      </c>
      <c r="N21" s="9">
        <v>0</v>
      </c>
      <c r="O21" s="9" t="s">
        <v>298</v>
      </c>
      <c r="P21" s="9" t="s">
        <v>298</v>
      </c>
      <c r="Q21" s="9" t="s">
        <v>298</v>
      </c>
      <c r="R21" s="9">
        <v>0</v>
      </c>
      <c r="S21" s="9">
        <v>0</v>
      </c>
      <c r="T21" s="9">
        <v>104</v>
      </c>
      <c r="U21">
        <f t="shared" si="0"/>
        <v>3359.9500000000003</v>
      </c>
      <c r="V21" s="9" t="str">
        <f t="shared" si="2"/>
        <v>-716,45 - (1*idade) + (17,82*altura) + (15,06*peso)</v>
      </c>
      <c r="W21" s="99" t="s">
        <v>345</v>
      </c>
      <c r="X21" s="106"/>
      <c r="Y21" s="106"/>
      <c r="Z21" s="118" t="s">
        <v>168</v>
      </c>
      <c r="AA21" s="126">
        <v>65</v>
      </c>
      <c r="AB21" s="106"/>
      <c r="AC21" s="106"/>
      <c r="AD21" s="108"/>
      <c r="AE21" s="106"/>
      <c r="AF21" s="106"/>
      <c r="AG21" s="106"/>
      <c r="AH21" s="106"/>
      <c r="AI21" s="106"/>
    </row>
    <row r="22" spans="1:35" ht="21">
      <c r="A22" s="9" t="s">
        <v>116</v>
      </c>
      <c r="B22" s="105" t="str">
        <f t="shared" si="1"/>
        <v>Sexo:Masculino_Nutriz:Nao_Gestante:Nao_Idade:0a2_Atividade:Ativo_Tri:Nao_MesPosParto:Nao</v>
      </c>
      <c r="C22" s="160" t="s">
        <v>397</v>
      </c>
      <c r="D22" s="96" t="s">
        <v>170</v>
      </c>
      <c r="E22" s="105" t="s">
        <v>378</v>
      </c>
      <c r="F22" s="105" t="s">
        <v>298</v>
      </c>
      <c r="G22" s="105" t="s">
        <v>298</v>
      </c>
      <c r="H22" s="105" t="s">
        <v>171</v>
      </c>
      <c r="I22" s="9" t="s">
        <v>37</v>
      </c>
      <c r="J22" s="9">
        <v>-716.45</v>
      </c>
      <c r="K22" s="9">
        <v>-1</v>
      </c>
      <c r="L22" s="9">
        <v>17.82</v>
      </c>
      <c r="M22" s="9">
        <v>15.06</v>
      </c>
      <c r="N22" s="9">
        <v>0</v>
      </c>
      <c r="O22" s="9" t="s">
        <v>298</v>
      </c>
      <c r="P22" s="9" t="s">
        <v>298</v>
      </c>
      <c r="Q22" s="9" t="s">
        <v>298</v>
      </c>
      <c r="R22" s="9">
        <v>0</v>
      </c>
      <c r="S22" s="9">
        <v>0</v>
      </c>
      <c r="T22" s="9">
        <v>104</v>
      </c>
      <c r="U22">
        <f t="shared" si="0"/>
        <v>3359.9500000000003</v>
      </c>
      <c r="V22" s="9" t="str">
        <f t="shared" si="2"/>
        <v>-716,45 - (1*idade) + (17,82*altura) + (15,06*peso)</v>
      </c>
      <c r="W22" s="99" t="s">
        <v>345</v>
      </c>
      <c r="X22" s="106"/>
      <c r="Y22" s="106"/>
      <c r="Z22" s="118" t="s">
        <v>173</v>
      </c>
      <c r="AA22" s="126">
        <v>175</v>
      </c>
      <c r="AB22" s="106"/>
      <c r="AC22" s="106"/>
      <c r="AD22" s="108"/>
      <c r="AE22" s="106"/>
      <c r="AF22" s="106"/>
      <c r="AG22" s="106"/>
      <c r="AH22" s="106"/>
      <c r="AI22" s="106"/>
    </row>
    <row r="23" spans="1:35" ht="21">
      <c r="A23" s="9" t="s">
        <v>116</v>
      </c>
      <c r="B23" s="105" t="str">
        <f t="shared" si="1"/>
        <v>Sexo:Masculino_Nutriz:Nao_Gestante:Nao_Idade:0a2_Atividade:Muito ativo_Tri:Nao_MesPosParto:Nao</v>
      </c>
      <c r="C23" s="160" t="s">
        <v>398</v>
      </c>
      <c r="D23" s="96" t="s">
        <v>170</v>
      </c>
      <c r="E23" s="105" t="s">
        <v>378</v>
      </c>
      <c r="F23" s="105" t="s">
        <v>298</v>
      </c>
      <c r="G23" s="105" t="s">
        <v>298</v>
      </c>
      <c r="H23" s="105" t="s">
        <v>171</v>
      </c>
      <c r="I23" s="9" t="s">
        <v>130</v>
      </c>
      <c r="J23" s="9">
        <v>-716.45</v>
      </c>
      <c r="K23" s="9">
        <v>-1</v>
      </c>
      <c r="L23" s="9">
        <v>17.82</v>
      </c>
      <c r="M23" s="9">
        <v>15.06</v>
      </c>
      <c r="N23" s="9">
        <v>0</v>
      </c>
      <c r="O23" s="9" t="s">
        <v>298</v>
      </c>
      <c r="P23" s="9" t="s">
        <v>298</v>
      </c>
      <c r="Q23" s="9" t="s">
        <v>298</v>
      </c>
      <c r="R23" s="9">
        <v>0</v>
      </c>
      <c r="S23" s="9">
        <v>0</v>
      </c>
      <c r="T23" s="9">
        <v>104</v>
      </c>
      <c r="U23">
        <f t="shared" si="0"/>
        <v>3359.9500000000003</v>
      </c>
      <c r="V23" s="9" t="str">
        <f t="shared" si="2"/>
        <v>-716,45 - (1*idade) + (17,82*altura) + (15,06*peso)</v>
      </c>
      <c r="W23" s="99" t="s">
        <v>345</v>
      </c>
      <c r="X23" s="106"/>
      <c r="Y23" s="106"/>
      <c r="Z23" s="118" t="s">
        <v>175</v>
      </c>
      <c r="AA23" s="126" t="s">
        <v>125</v>
      </c>
      <c r="AB23" s="107"/>
      <c r="AC23" s="106"/>
      <c r="AD23" s="108"/>
      <c r="AE23" s="106"/>
      <c r="AF23" s="106"/>
      <c r="AG23" s="106"/>
      <c r="AH23" s="106"/>
      <c r="AI23" s="106"/>
    </row>
    <row r="24" spans="1:35">
      <c r="A24" s="9" t="s">
        <v>116</v>
      </c>
      <c r="B24" s="105" t="str">
        <f t="shared" si="1"/>
        <v>Sexo:Feminino_Nutriz:Nao_Gestante:Nao_Idade:0a2_Atividade:Inativo_Tri:Nao_MesPosParto:Nao</v>
      </c>
      <c r="C24" s="160" t="s">
        <v>399</v>
      </c>
      <c r="D24" s="96" t="s">
        <v>180</v>
      </c>
      <c r="E24" s="105" t="s">
        <v>153</v>
      </c>
      <c r="F24" s="105" t="s">
        <v>298</v>
      </c>
      <c r="G24" s="105" t="s">
        <v>298</v>
      </c>
      <c r="H24" s="105" t="s">
        <v>171</v>
      </c>
      <c r="I24" s="9" t="s">
        <v>122</v>
      </c>
      <c r="J24" s="9">
        <v>-69.150000000000006</v>
      </c>
      <c r="K24" s="9">
        <v>80</v>
      </c>
      <c r="L24" s="9">
        <v>2.65</v>
      </c>
      <c r="M24" s="9">
        <v>54.15</v>
      </c>
      <c r="N24" s="9">
        <v>0</v>
      </c>
      <c r="O24" s="9" t="s">
        <v>298</v>
      </c>
      <c r="P24" s="9" t="s">
        <v>298</v>
      </c>
      <c r="Q24" s="9" t="s">
        <v>298</v>
      </c>
      <c r="R24" s="9">
        <v>0</v>
      </c>
      <c r="S24" s="9">
        <v>0</v>
      </c>
      <c r="T24" s="9">
        <v>95</v>
      </c>
      <c r="U24">
        <f t="shared" si="0"/>
        <v>5594.35</v>
      </c>
      <c r="V24" s="9" t="str">
        <f t="shared" si="2"/>
        <v>-69,15 + (80*idade) + (2,65*altura) + (54,15*peso)</v>
      </c>
      <c r="W24" s="99" t="s">
        <v>346</v>
      </c>
      <c r="X24" s="106"/>
      <c r="Y24" s="106"/>
      <c r="Z24" s="106"/>
      <c r="AA24" s="106"/>
      <c r="AB24" s="107"/>
      <c r="AC24" s="106"/>
      <c r="AD24" s="108"/>
      <c r="AE24" s="106"/>
      <c r="AF24" s="106"/>
      <c r="AG24" s="106"/>
      <c r="AH24" s="106"/>
      <c r="AI24" s="106"/>
    </row>
    <row r="25" spans="1:35" ht="21">
      <c r="A25" s="9" t="s">
        <v>116</v>
      </c>
      <c r="B25" s="105" t="str">
        <f t="shared" si="1"/>
        <v>Sexo:Feminino_Nutriz:Nao_Gestante:Nao_Idade:0a2_Atividade:Pouco ativo_Tri:Nao_MesPosParto:Nao</v>
      </c>
      <c r="C25" s="160" t="s">
        <v>400</v>
      </c>
      <c r="D25" s="96" t="s">
        <v>180</v>
      </c>
      <c r="E25" s="105" t="s">
        <v>153</v>
      </c>
      <c r="F25" s="105" t="s">
        <v>298</v>
      </c>
      <c r="G25" s="105" t="s">
        <v>298</v>
      </c>
      <c r="H25" s="105" t="s">
        <v>171</v>
      </c>
      <c r="I25" s="9" t="s">
        <v>125</v>
      </c>
      <c r="J25" s="9">
        <v>-69.150000000000006</v>
      </c>
      <c r="K25" s="9">
        <v>80</v>
      </c>
      <c r="L25" s="9">
        <v>2.65</v>
      </c>
      <c r="M25" s="9">
        <v>54.15</v>
      </c>
      <c r="N25" s="9">
        <v>0</v>
      </c>
      <c r="O25" s="9" t="s">
        <v>298</v>
      </c>
      <c r="P25" s="9" t="s">
        <v>298</v>
      </c>
      <c r="Q25" s="9" t="s">
        <v>298</v>
      </c>
      <c r="R25" s="9">
        <v>0</v>
      </c>
      <c r="S25" s="9">
        <v>0</v>
      </c>
      <c r="T25" s="9">
        <v>95</v>
      </c>
      <c r="U25">
        <f t="shared" si="0"/>
        <v>5594.35</v>
      </c>
      <c r="V25" s="9" t="str">
        <f t="shared" si="2"/>
        <v>-69,15 + (80*idade) + (2,65*altura) + (54,15*peso)</v>
      </c>
      <c r="W25" s="99" t="s">
        <v>346</v>
      </c>
      <c r="X25" s="106"/>
      <c r="Y25" s="106"/>
      <c r="Z25" s="120" t="s">
        <v>178</v>
      </c>
      <c r="AA25" s="121" t="str" cm="1">
        <f t="array" ref="AA25">IF(ISNUMBER($AA$20),_xlfn.SWITCH(TRUE, 19&lt;=$AA$20,"19≤",    3&lt;=$AA$20, "3a18",     0&lt;=$AA$20, "0a2"),"Insira um número válido na idade")</f>
        <v>19≤</v>
      </c>
      <c r="AB25" s="106"/>
      <c r="AC25" s="106"/>
      <c r="AD25" s="108"/>
      <c r="AE25" s="106"/>
      <c r="AF25" s="106"/>
      <c r="AG25" s="106"/>
      <c r="AH25" s="106"/>
      <c r="AI25" s="106"/>
    </row>
    <row r="26" spans="1:35" ht="21">
      <c r="A26" s="9" t="s">
        <v>116</v>
      </c>
      <c r="B26" s="105" t="str">
        <f t="shared" si="1"/>
        <v>Sexo:Feminino_Nutriz:Nao_Gestante:Nao_Idade:0a2_Atividade:Ativo_Tri:Nao_MesPosParto:Nao</v>
      </c>
      <c r="C26" s="160" t="s">
        <v>401</v>
      </c>
      <c r="D26" s="96" t="s">
        <v>180</v>
      </c>
      <c r="E26" s="105" t="s">
        <v>153</v>
      </c>
      <c r="F26" s="105" t="s">
        <v>298</v>
      </c>
      <c r="G26" s="105" t="s">
        <v>298</v>
      </c>
      <c r="H26" s="105" t="s">
        <v>171</v>
      </c>
      <c r="I26" s="9" t="s">
        <v>37</v>
      </c>
      <c r="J26" s="9">
        <v>-69.150000000000006</v>
      </c>
      <c r="K26" s="9">
        <v>80</v>
      </c>
      <c r="L26" s="9">
        <v>2.65</v>
      </c>
      <c r="M26" s="9">
        <v>54.15</v>
      </c>
      <c r="N26" s="9">
        <v>0</v>
      </c>
      <c r="O26" s="9" t="s">
        <v>298</v>
      </c>
      <c r="P26" s="9" t="s">
        <v>298</v>
      </c>
      <c r="Q26" s="9" t="s">
        <v>298</v>
      </c>
      <c r="R26" s="9">
        <v>0</v>
      </c>
      <c r="S26" s="9">
        <v>0</v>
      </c>
      <c r="T26" s="9">
        <v>95</v>
      </c>
      <c r="U26">
        <f t="shared" si="0"/>
        <v>5594.35</v>
      </c>
      <c r="V26" s="9" t="str">
        <f t="shared" si="2"/>
        <v>-69,15 + (80*idade) + (2,65*altura) + (54,15*peso)</v>
      </c>
      <c r="W26" s="99" t="s">
        <v>346</v>
      </c>
      <c r="X26" s="106"/>
      <c r="Y26" s="106"/>
      <c r="Z26" s="120" t="s">
        <v>182</v>
      </c>
      <c r="AA26" s="122">
        <f>IFERROR($AA$21/POWER($AA$22/100,2), "ERRO GRAVE NO IMC")</f>
        <v>21.224489795918366</v>
      </c>
      <c r="AB26" s="107"/>
      <c r="AC26" s="106"/>
      <c r="AD26" s="108"/>
      <c r="AE26" s="106"/>
      <c r="AF26" s="106"/>
      <c r="AG26" s="106"/>
      <c r="AH26" s="106"/>
      <c r="AI26" s="106"/>
    </row>
    <row r="27" spans="1:35">
      <c r="A27" s="9" t="s">
        <v>116</v>
      </c>
      <c r="B27" s="105" t="str">
        <f t="shared" si="1"/>
        <v>Sexo:Feminino_Nutriz:Nao_Gestante:Nao_Idade:0a2_Atividade:Muito ativo_Tri:Nao_MesPosParto:Nao</v>
      </c>
      <c r="C27" s="160" t="s">
        <v>402</v>
      </c>
      <c r="D27" s="96" t="s">
        <v>180</v>
      </c>
      <c r="E27" s="105" t="s">
        <v>153</v>
      </c>
      <c r="F27" s="105" t="s">
        <v>298</v>
      </c>
      <c r="G27" s="105" t="s">
        <v>298</v>
      </c>
      <c r="H27" s="105" t="s">
        <v>171</v>
      </c>
      <c r="I27" s="9" t="s">
        <v>130</v>
      </c>
      <c r="J27" s="9">
        <v>-69.150000000000006</v>
      </c>
      <c r="K27" s="9">
        <v>80</v>
      </c>
      <c r="L27" s="9">
        <v>2.65</v>
      </c>
      <c r="M27" s="9">
        <v>54.15</v>
      </c>
      <c r="N27" s="9">
        <v>0</v>
      </c>
      <c r="O27" s="9" t="s">
        <v>298</v>
      </c>
      <c r="P27" s="9" t="s">
        <v>298</v>
      </c>
      <c r="Q27" s="9" t="s">
        <v>298</v>
      </c>
      <c r="R27" s="9">
        <v>0</v>
      </c>
      <c r="S27" s="9">
        <v>0</v>
      </c>
      <c r="T27" s="9">
        <v>95</v>
      </c>
      <c r="U27">
        <f t="shared" si="0"/>
        <v>5594.35</v>
      </c>
      <c r="V27" s="9" t="str">
        <f t="shared" si="2"/>
        <v>-69,15 + (80*idade) + (2,65*altura) + (54,15*peso)</v>
      </c>
      <c r="W27" s="99" t="s">
        <v>346</v>
      </c>
      <c r="X27" s="106"/>
      <c r="Y27" s="106"/>
      <c r="Z27" s="106"/>
      <c r="AA27" s="106"/>
      <c r="AB27" s="106"/>
      <c r="AC27" s="106"/>
      <c r="AD27" s="108"/>
      <c r="AE27" s="106"/>
      <c r="AF27" s="106"/>
      <c r="AG27" s="106"/>
      <c r="AH27" s="106"/>
      <c r="AI27" s="106"/>
    </row>
    <row r="28" spans="1:35" ht="21" hidden="1">
      <c r="A28" s="100" t="s">
        <v>116</v>
      </c>
      <c r="B28" s="105" t="str">
        <f t="shared" si="1"/>
        <v>Sexo:Feminino_Nutriz:Nao_Gestante:Sim_Idade:any_Atividade:Inativo_Tri:Nao_MesPosParto:Nao</v>
      </c>
      <c r="C28" s="160" t="s">
        <v>403</v>
      </c>
      <c r="D28" s="101" t="s">
        <v>188</v>
      </c>
      <c r="E28" s="105" t="s">
        <v>153</v>
      </c>
      <c r="F28" s="105" t="s">
        <v>298</v>
      </c>
      <c r="G28" s="105" t="s">
        <v>157</v>
      </c>
      <c r="H28" s="100" t="s">
        <v>190</v>
      </c>
      <c r="I28" s="9" t="s">
        <v>122</v>
      </c>
      <c r="J28" s="100">
        <v>1131.2</v>
      </c>
      <c r="K28" s="100">
        <v>-2.04</v>
      </c>
      <c r="L28" s="100">
        <v>0.34</v>
      </c>
      <c r="M28" s="100">
        <v>12.15</v>
      </c>
      <c r="N28" s="100">
        <v>0</v>
      </c>
      <c r="O28" s="9" t="s">
        <v>298</v>
      </c>
      <c r="P28" s="9" t="s">
        <v>298</v>
      </c>
      <c r="Q28" s="9" t="s">
        <v>298</v>
      </c>
      <c r="R28" s="9">
        <v>0</v>
      </c>
      <c r="S28" s="9">
        <v>0</v>
      </c>
      <c r="T28" s="100">
        <v>282</v>
      </c>
      <c r="U28" s="102">
        <f t="shared" si="0"/>
        <v>1937.6100000000001</v>
      </c>
      <c r="V28" s="100" t="str">
        <f t="shared" si="2"/>
        <v>1131,2 - (2,04*idade) + (0,34*altura) + (12,15*peso)</v>
      </c>
      <c r="W28" s="103" t="s">
        <v>347</v>
      </c>
      <c r="X28" s="106"/>
      <c r="Y28" s="106"/>
      <c r="Z28" s="118" t="s">
        <v>185</v>
      </c>
      <c r="AA28" s="112" t="str">
        <f>IF($AA$16 = "Sim", IF($AA$18/12 &lt;=2, "1", "2ou3"), "Nao")</f>
        <v>Nao</v>
      </c>
      <c r="AB28" s="106"/>
      <c r="AC28" s="106"/>
      <c r="AD28" s="108"/>
      <c r="AE28" s="106"/>
      <c r="AF28" s="106"/>
      <c r="AG28" s="106"/>
      <c r="AH28" s="106"/>
      <c r="AI28" s="106"/>
    </row>
    <row r="29" spans="1:35" ht="21" hidden="1">
      <c r="A29" s="100" t="s">
        <v>116</v>
      </c>
      <c r="B29" s="105" t="str">
        <f t="shared" si="1"/>
        <v>Sexo:Feminino_Nutriz:Nao_Gestante:Sim_Idade:any_Atividade:Pouco ativo_Tri:Nao_MesPosParto:Nao</v>
      </c>
      <c r="C29" s="160" t="s">
        <v>404</v>
      </c>
      <c r="D29" s="101" t="s">
        <v>188</v>
      </c>
      <c r="E29" s="105" t="s">
        <v>153</v>
      </c>
      <c r="F29" s="105" t="s">
        <v>298</v>
      </c>
      <c r="G29" s="105" t="s">
        <v>157</v>
      </c>
      <c r="H29" s="100" t="s">
        <v>190</v>
      </c>
      <c r="I29" s="9" t="s">
        <v>125</v>
      </c>
      <c r="J29" s="100">
        <v>693.35</v>
      </c>
      <c r="K29" s="100">
        <v>-2.04</v>
      </c>
      <c r="L29" s="100">
        <v>5.73</v>
      </c>
      <c r="M29" s="104">
        <v>10.199999999999999</v>
      </c>
      <c r="N29" s="100">
        <v>0</v>
      </c>
      <c r="O29" s="9" t="s">
        <v>298</v>
      </c>
      <c r="P29" s="9" t="s">
        <v>298</v>
      </c>
      <c r="Q29" s="9" t="s">
        <v>298</v>
      </c>
      <c r="R29" s="9">
        <v>0</v>
      </c>
      <c r="S29" s="9">
        <v>0</v>
      </c>
      <c r="T29" s="100">
        <v>282</v>
      </c>
      <c r="U29" s="102">
        <f t="shared" si="0"/>
        <v>2316.2600000000002</v>
      </c>
      <c r="V29" s="100" t="str">
        <f t="shared" si="2"/>
        <v>693,35 - (2,04*idade) + (5,73*altura) + (10,2*peso)</v>
      </c>
      <c r="W29" s="103" t="s">
        <v>348</v>
      </c>
      <c r="X29" s="106"/>
      <c r="Y29" s="106"/>
      <c r="Z29" s="118" t="s">
        <v>187</v>
      </c>
      <c r="AA29" s="112" t="str" cm="1">
        <f t="array" ref="AA29">_xlfn.SWITCH(TRUE, 40&lt;=$AA$26, "SOB", 30&lt;=$AA$26, "OB", 25&lt;=$AA$26, "OW",  18.5&lt;=$AA$26, "NW", 0&lt;=$AA$26, "UW")</f>
        <v>NW</v>
      </c>
      <c r="AB29" s="106"/>
      <c r="AC29" s="106"/>
      <c r="AD29" s="108"/>
      <c r="AE29" s="106"/>
      <c r="AF29" s="106"/>
      <c r="AG29" s="106"/>
      <c r="AH29" s="106"/>
      <c r="AI29" s="106"/>
    </row>
    <row r="30" spans="1:35" ht="21" hidden="1">
      <c r="A30" s="100" t="s">
        <v>116</v>
      </c>
      <c r="B30" s="105" t="str">
        <f t="shared" si="1"/>
        <v>Sexo:Feminino_Nutriz:Nao_Gestante:Sim_Idade:any_Atividade:Ativo_Tri:Nao_MesPosParto:Nao</v>
      </c>
      <c r="C30" s="160" t="s">
        <v>405</v>
      </c>
      <c r="D30" s="101" t="s">
        <v>188</v>
      </c>
      <c r="E30" s="105" t="s">
        <v>153</v>
      </c>
      <c r="F30" s="105" t="s">
        <v>298</v>
      </c>
      <c r="G30" s="105" t="s">
        <v>157</v>
      </c>
      <c r="H30" s="100" t="s">
        <v>190</v>
      </c>
      <c r="I30" s="9" t="s">
        <v>37</v>
      </c>
      <c r="J30" s="100">
        <v>-223.84</v>
      </c>
      <c r="K30" s="100">
        <v>-2.04</v>
      </c>
      <c r="L30" s="100">
        <v>13.23</v>
      </c>
      <c r="M30" s="104">
        <v>8.15</v>
      </c>
      <c r="N30" s="100">
        <v>0</v>
      </c>
      <c r="O30" s="9" t="s">
        <v>298</v>
      </c>
      <c r="P30" s="9" t="s">
        <v>298</v>
      </c>
      <c r="Q30" s="9" t="s">
        <v>298</v>
      </c>
      <c r="R30" s="9">
        <v>0</v>
      </c>
      <c r="S30" s="9">
        <v>0</v>
      </c>
      <c r="T30" s="100">
        <v>282</v>
      </c>
      <c r="U30" s="102">
        <f t="shared" si="0"/>
        <v>2578.3200000000002</v>
      </c>
      <c r="V30" s="100" t="str">
        <f t="shared" si="2"/>
        <v>-223,84 - (2,04*idade) + (13,23*altura) + (8,15*peso)</v>
      </c>
      <c r="W30" s="103" t="s">
        <v>349</v>
      </c>
      <c r="X30" s="106"/>
      <c r="Y30" s="106"/>
      <c r="Z30" s="118" t="s">
        <v>192</v>
      </c>
      <c r="AA30" s="112" cm="1">
        <f t="array" ref="AA30">IF($AA$16 = "Sim", _xlfn.SWITCH($AA$29,"uw",300,"nw",200,"ow",150,"ob",-50,"SOB","Sem dados"), 0)</f>
        <v>0</v>
      </c>
      <c r="AB30" s="106"/>
      <c r="AC30" s="106"/>
      <c r="AD30" s="108"/>
      <c r="AE30" s="106"/>
      <c r="AF30" s="106"/>
      <c r="AG30" s="106"/>
      <c r="AH30" s="106"/>
      <c r="AI30" s="106"/>
    </row>
    <row r="31" spans="1:35" ht="21" hidden="1">
      <c r="A31" s="100" t="s">
        <v>116</v>
      </c>
      <c r="B31" s="105" t="str">
        <f t="shared" si="1"/>
        <v>Sexo:Feminino_Nutriz:Nao_Gestante:Sim_Idade:any_Atividade:Muito ativo_Tri:Nao_MesPosParto:Nao</v>
      </c>
      <c r="C31" s="160" t="s">
        <v>406</v>
      </c>
      <c r="D31" s="101" t="s">
        <v>188</v>
      </c>
      <c r="E31" s="105" t="s">
        <v>153</v>
      </c>
      <c r="F31" s="105" t="s">
        <v>298</v>
      </c>
      <c r="G31" s="105" t="s">
        <v>157</v>
      </c>
      <c r="H31" s="100" t="s">
        <v>190</v>
      </c>
      <c r="I31" s="9" t="s">
        <v>130</v>
      </c>
      <c r="J31" s="100">
        <v>-779.72</v>
      </c>
      <c r="K31" s="100">
        <v>-2.04</v>
      </c>
      <c r="L31" s="100">
        <v>18.45</v>
      </c>
      <c r="M31" s="104">
        <v>8.73</v>
      </c>
      <c r="N31" s="100">
        <v>0</v>
      </c>
      <c r="O31" s="9" t="s">
        <v>298</v>
      </c>
      <c r="P31" s="9" t="s">
        <v>298</v>
      </c>
      <c r="Q31" s="9" t="s">
        <v>298</v>
      </c>
      <c r="R31" s="9">
        <v>0</v>
      </c>
      <c r="S31" s="9">
        <v>0</v>
      </c>
      <c r="T31" s="100">
        <v>282</v>
      </c>
      <c r="U31" s="102">
        <f t="shared" si="0"/>
        <v>2973.6400000000003</v>
      </c>
      <c r="V31" s="100" t="str">
        <f t="shared" si="2"/>
        <v>-779,72 - (2,04*idade) + (18,45*altura) + (8,73*peso)</v>
      </c>
      <c r="W31" s="103" t="s">
        <v>350</v>
      </c>
      <c r="X31" s="106"/>
      <c r="Y31" s="106"/>
      <c r="Z31" s="118" t="s">
        <v>353</v>
      </c>
      <c r="AA31" s="112" t="str">
        <f>IF($AA$15 = "Sim", IF($AA$19&lt;=6,"0a6meses", "7a12meses"), "Nao")</f>
        <v>0a6meses</v>
      </c>
      <c r="AB31" s="106"/>
      <c r="AC31" s="106"/>
      <c r="AD31" s="108"/>
      <c r="AE31" s="106"/>
      <c r="AF31" s="106"/>
      <c r="AG31" s="106"/>
      <c r="AH31" s="106"/>
      <c r="AI31" s="106"/>
    </row>
    <row r="32" spans="1:35" hidden="1">
      <c r="A32" s="9" t="s">
        <v>197</v>
      </c>
      <c r="B32" s="105" t="str">
        <f t="shared" si="1"/>
        <v>Sexo:Feminino_Nutriz:Nao_Gestante:Sim_Idade:19≤_Atividade:Inativo_Tri:2ou3_MesPosParto:Nao</v>
      </c>
      <c r="C32" s="105" t="s">
        <v>354</v>
      </c>
      <c r="D32" s="96" t="s">
        <v>188</v>
      </c>
      <c r="E32" s="105" t="s">
        <v>153</v>
      </c>
      <c r="F32" s="105" t="s">
        <v>298</v>
      </c>
      <c r="G32" s="105" t="s">
        <v>157</v>
      </c>
      <c r="H32" s="105" t="s">
        <v>121</v>
      </c>
      <c r="I32" s="9" t="s">
        <v>122</v>
      </c>
      <c r="J32" s="9">
        <v>1131.2</v>
      </c>
      <c r="K32" s="9">
        <v>-2.04</v>
      </c>
      <c r="L32" s="9">
        <v>0.34</v>
      </c>
      <c r="M32" s="9">
        <v>12.15</v>
      </c>
      <c r="N32" s="9">
        <v>9.16</v>
      </c>
      <c r="O32" s="9" t="s">
        <v>199</v>
      </c>
      <c r="P32" s="9" t="s">
        <v>298</v>
      </c>
      <c r="Q32" s="9" t="s">
        <v>298</v>
      </c>
      <c r="R32" s="9">
        <v>0</v>
      </c>
      <c r="S32" s="9">
        <v>0</v>
      </c>
      <c r="T32">
        <v>282</v>
      </c>
      <c r="U32">
        <f>J32+(K32*$AA$20)+(L32*$AA$22)+(M32*$AA$21)+(N32*$AA$18)+$AA$30</f>
        <v>1937.6100000000001</v>
      </c>
      <c r="V32" s="9" t="str">
        <f>_xlfn.CONCAT(J32, IF(K32&lt;0, " - ", " + "), "(", IF(K32&lt;0,K32*-1,K32), "*idade)", IF(L32&lt;0, " - ", " + "), "(", IF(L32&lt;0,L32*-1,L32), "*altura)", IF(M32&lt;0, " - ", " + "), "(", IF(M32&lt;0,M32*-1,M32), "*peso)", " + ",N32,"* SemanaGestacao"," + DeposicaoEnergia")</f>
        <v>1131,2 - (2,04*idade) + (0,34*altura) + (12,15*peso) + 9,16* SemanaGestacao + DeposicaoEnergia</v>
      </c>
      <c r="W32" s="99" t="s">
        <v>200</v>
      </c>
      <c r="X32" s="106"/>
      <c r="Y32" s="106"/>
      <c r="Z32" s="106"/>
      <c r="AA32" s="106"/>
      <c r="AB32" s="106"/>
      <c r="AC32" s="106"/>
      <c r="AD32" s="108"/>
      <c r="AE32" s="106"/>
      <c r="AF32" s="106"/>
      <c r="AG32" s="106"/>
      <c r="AH32" s="106"/>
      <c r="AI32" s="106"/>
    </row>
    <row r="33" spans="1:35" ht="21" hidden="1">
      <c r="A33" s="9" t="s">
        <v>197</v>
      </c>
      <c r="B33" s="105" t="str">
        <f t="shared" si="1"/>
        <v>Sexo:Feminino_Nutriz:Nao_Gestante:Sim_Idade:19≤_Atividade:Pouco ativo_Tri:2ou3_MesPosParto:Nao</v>
      </c>
      <c r="C33" s="105" t="s">
        <v>355</v>
      </c>
      <c r="D33" s="96" t="s">
        <v>188</v>
      </c>
      <c r="E33" s="105" t="s">
        <v>153</v>
      </c>
      <c r="F33" s="105" t="s">
        <v>298</v>
      </c>
      <c r="G33" s="105" t="s">
        <v>157</v>
      </c>
      <c r="H33" s="105" t="s">
        <v>121</v>
      </c>
      <c r="I33" s="9" t="s">
        <v>125</v>
      </c>
      <c r="J33" s="9">
        <v>693.35</v>
      </c>
      <c r="K33" s="9">
        <v>-2.04</v>
      </c>
      <c r="L33" s="9">
        <v>5.73</v>
      </c>
      <c r="M33" s="98">
        <v>10.199999999999999</v>
      </c>
      <c r="N33" s="9">
        <v>9.16</v>
      </c>
      <c r="O33" s="9" t="s">
        <v>199</v>
      </c>
      <c r="P33" s="9" t="s">
        <v>298</v>
      </c>
      <c r="Q33" s="9" t="s">
        <v>298</v>
      </c>
      <c r="R33" s="9">
        <v>0</v>
      </c>
      <c r="S33" s="9">
        <v>0</v>
      </c>
      <c r="T33">
        <v>282</v>
      </c>
      <c r="U33">
        <f>J33+(K33*$AA$20)+(L33*$AA$22)+(M33*$AA$21)+(N33*$AA$18)+$AA$30</f>
        <v>2316.2600000000002</v>
      </c>
      <c r="V33" s="9" t="str">
        <f>_xlfn.CONCAT(J33, IF(K33&lt;0, " - ", " + "), "(", IF(K33&lt;0,K33*-1,K33), "*idade)", IF(L33&lt;0, " - ", " + "), "(", IF(L33&lt;0,L33*-1,L33), "*altura)", IF(M33&lt;0, " - ", " + "), "(", IF(M33&lt;0,M33*-1,M33), "*peso)", " + ",N33,"* SemanaGestacao"," + DeposicaoEnergia")</f>
        <v>693,35 - (2,04*idade) + (5,73*altura) + (10,2*peso) + 9,16* SemanaGestacao + DeposicaoEnergia</v>
      </c>
      <c r="W33" s="99" t="s">
        <v>203</v>
      </c>
      <c r="X33" s="106"/>
      <c r="Y33" s="106"/>
      <c r="Z33" s="118" t="s">
        <v>195</v>
      </c>
      <c r="AA33" s="116" t="str">
        <f>_xlfn.CONCAT("Sexo:",$AA$14, "_Nutriz:",$AA$15, "_Gestante:",$AA$16, "_Idade:",$AA$25,"_Atividade:",$AA$23,"_Tri:",$AA$28,  "_MesPosParto:", $AA$31)</f>
        <v>Sexo:Feminino_Nutriz:Sim_Gestante:Nao_Idade:19≤_Atividade:Pouco ativo_Tri:Nao_MesPosParto:0a6meses</v>
      </c>
      <c r="AB33" s="106"/>
      <c r="AC33" s="108"/>
      <c r="AD33" s="108"/>
      <c r="AE33" s="106"/>
      <c r="AF33" s="106"/>
      <c r="AG33" s="106"/>
      <c r="AH33" s="106"/>
      <c r="AI33" s="106"/>
    </row>
    <row r="34" spans="1:35" ht="21" hidden="1">
      <c r="A34" s="9" t="s">
        <v>197</v>
      </c>
      <c r="B34" s="105" t="str">
        <f t="shared" si="1"/>
        <v>Sexo:Feminino_Nutriz:Nao_Gestante:Sim_Idade:19≤_Atividade:Ativo_Tri:2ou3_MesPosParto:Nao</v>
      </c>
      <c r="C34" s="105" t="s">
        <v>356</v>
      </c>
      <c r="D34" s="96" t="s">
        <v>188</v>
      </c>
      <c r="E34" s="105" t="s">
        <v>153</v>
      </c>
      <c r="F34" s="105" t="s">
        <v>298</v>
      </c>
      <c r="G34" s="105" t="s">
        <v>157</v>
      </c>
      <c r="H34" s="105" t="s">
        <v>121</v>
      </c>
      <c r="I34" s="9" t="s">
        <v>37</v>
      </c>
      <c r="J34" s="9">
        <v>-223.84</v>
      </c>
      <c r="K34" s="9">
        <v>-2.04</v>
      </c>
      <c r="L34" s="9">
        <v>13.23</v>
      </c>
      <c r="M34" s="98">
        <v>8.15</v>
      </c>
      <c r="N34" s="9">
        <v>9.16</v>
      </c>
      <c r="O34" s="9" t="s">
        <v>199</v>
      </c>
      <c r="P34" s="9" t="s">
        <v>298</v>
      </c>
      <c r="Q34" s="9" t="s">
        <v>298</v>
      </c>
      <c r="R34" s="9">
        <v>0</v>
      </c>
      <c r="S34" s="9">
        <v>0</v>
      </c>
      <c r="T34">
        <v>282</v>
      </c>
      <c r="U34">
        <f>J34+(K34*$AA$20)+(L34*$AA$22)+(M34*$AA$21)+(N34*$AA$18)+$AA$30</f>
        <v>2578.3200000000002</v>
      </c>
      <c r="V34" s="9" t="str">
        <f>_xlfn.CONCAT(J34, IF(K34&lt;0, " - ", " + "), "(", IF(K34&lt;0,K34*-1,K34), "*idade)", IF(L34&lt;0, " - ", " + "), "(", IF(L34&lt;0,L34*-1,L34), "*altura)", IF(M34&lt;0, " - ", " + "), "(", IF(M34&lt;0,M34*-1,M34), "*peso)", " + ",N34,"* SemanaGestacao"," + DeposicaoEnergia")</f>
        <v>-223,84 - (2,04*idade) + (13,23*altura) + (8,15*peso) + 9,16* SemanaGestacao + DeposicaoEnergia</v>
      </c>
      <c r="W34" s="99" t="s">
        <v>206</v>
      </c>
      <c r="X34" s="106"/>
      <c r="Y34" s="106"/>
      <c r="Z34" s="119"/>
      <c r="AA34" s="106"/>
      <c r="AB34" s="106"/>
      <c r="AC34" s="108"/>
      <c r="AD34" s="108"/>
      <c r="AE34" s="106"/>
      <c r="AF34" s="106"/>
      <c r="AG34" s="106"/>
      <c r="AH34" s="106"/>
      <c r="AI34" s="106"/>
    </row>
    <row r="35" spans="1:35" ht="21">
      <c r="A35" s="9" t="s">
        <v>197</v>
      </c>
      <c r="B35" s="105" t="str">
        <f t="shared" si="1"/>
        <v>Sexo:Feminino_Nutriz:Nao_Gestante:Sim_Idade:19≤_Atividade:Muito ativo_Tri:2ou3_MesPosParto:Nao</v>
      </c>
      <c r="C35" s="105" t="s">
        <v>357</v>
      </c>
      <c r="D35" s="96" t="s">
        <v>188</v>
      </c>
      <c r="E35" s="105" t="s">
        <v>153</v>
      </c>
      <c r="F35" s="105" t="s">
        <v>298</v>
      </c>
      <c r="G35" s="105" t="s">
        <v>157</v>
      </c>
      <c r="H35" s="105" t="s">
        <v>121</v>
      </c>
      <c r="I35" s="9" t="s">
        <v>130</v>
      </c>
      <c r="J35" s="9">
        <v>-779.72</v>
      </c>
      <c r="K35" s="9">
        <v>-2.04</v>
      </c>
      <c r="L35" s="9">
        <v>18.45</v>
      </c>
      <c r="M35" s="98">
        <v>8.73</v>
      </c>
      <c r="N35" s="9">
        <v>9.16</v>
      </c>
      <c r="O35" s="9" t="s">
        <v>199</v>
      </c>
      <c r="P35" s="9" t="s">
        <v>298</v>
      </c>
      <c r="Q35" s="9" t="s">
        <v>298</v>
      </c>
      <c r="R35" s="9">
        <v>0</v>
      </c>
      <c r="S35" s="9">
        <v>0</v>
      </c>
      <c r="T35">
        <v>282</v>
      </c>
      <c r="U35">
        <f>J35+(K35*$AA$20)+(L35*$AA$22)+(M35*$AA$21)+(N35*$AA$18)+$AA$30</f>
        <v>2973.6400000000003</v>
      </c>
      <c r="V35" s="9" t="str">
        <f>_xlfn.CONCAT(J35, IF(K35&lt;0, " - ", " + "), "(", IF(K35&lt;0,K35*-1,K35), "*idade)", IF(L35&lt;0, " - ", " + "), "(", IF(L35&lt;0,L35*-1,L35), "*altura)", IF(M35&lt;0, " - ", " + "), "(", IF(M35&lt;0,M35*-1,M35), "*peso)", " + ",N35,"* SemanaGestacao"," + DeposicaoEnergia")</f>
        <v>-779,72 - (2,04*idade) + (18,45*altura) + (8,73*peso) + 9,16* SemanaGestacao + DeposicaoEnergia</v>
      </c>
      <c r="W35" s="99" t="s">
        <v>209</v>
      </c>
      <c r="X35" s="106"/>
      <c r="Y35" s="106"/>
      <c r="Z35" s="123" t="s">
        <v>201</v>
      </c>
      <c r="AA35" s="124" t="str">
        <f>IFERROR( VLOOKUP($AA$33,$C$3:$W$55,20,FALSE), "ERRO GRAVE insira as informações corretamente")</f>
        <v>575,77 - (7,01*idade) + (6,6*altura) + (12,14*peso) +  CustoProduçãoLeite -  MobilizaçãoEnergia</v>
      </c>
      <c r="AB35" s="106"/>
      <c r="AC35" s="108"/>
      <c r="AD35" s="108"/>
      <c r="AE35" s="106"/>
      <c r="AF35" s="106"/>
      <c r="AG35" s="106"/>
      <c r="AH35" s="106"/>
      <c r="AI35" s="106"/>
    </row>
    <row r="36" spans="1:35" ht="21">
      <c r="A36" s="9" t="s">
        <v>116</v>
      </c>
      <c r="B36" s="105" t="str">
        <f t="shared" si="1"/>
        <v>Sexo:Feminino_Nutriz:Nao_Gestante:Sim_Idade:19≤_Atividade:Inativo_Tri:1_MesPosParto:Nao</v>
      </c>
      <c r="C36" s="105" t="s">
        <v>358</v>
      </c>
      <c r="D36" s="96" t="s">
        <v>133</v>
      </c>
      <c r="E36" s="105" t="s">
        <v>153</v>
      </c>
      <c r="F36" s="105" t="s">
        <v>298</v>
      </c>
      <c r="G36" s="105" t="s">
        <v>157</v>
      </c>
      <c r="H36" s="105" t="s">
        <v>121</v>
      </c>
      <c r="I36" s="9" t="s">
        <v>122</v>
      </c>
      <c r="J36" s="9">
        <v>584.9</v>
      </c>
      <c r="K36" s="9">
        <v>-7.01</v>
      </c>
      <c r="L36" s="9">
        <v>5.72</v>
      </c>
      <c r="M36" s="9">
        <v>11.71</v>
      </c>
      <c r="N36" s="9">
        <v>0</v>
      </c>
      <c r="O36" s="9">
        <v>1</v>
      </c>
      <c r="P36" s="9" t="s">
        <v>298</v>
      </c>
      <c r="Q36" s="9" t="s">
        <v>298</v>
      </c>
      <c r="R36" s="9">
        <v>0</v>
      </c>
      <c r="S36" s="9">
        <v>0</v>
      </c>
      <c r="T36" s="9">
        <v>246</v>
      </c>
      <c r="U36">
        <f>J36+(K36*$AA$20)+(L36*$AA$22)+(M36*$AA$21)</f>
        <v>2199.84</v>
      </c>
      <c r="V36" s="9" t="str">
        <f>_xlfn.CONCAT(J36, IF(K36&lt;0, " - ", " + "), "(", IF(K36&lt;0,K36*-1,K36), "*idade)", IF(L36&lt;0, " - ", " + "), "(", IF(L36&lt;0,L36*-1,L36), "*altura)", IF(M36&lt;0, " - ", " + "), "(", IF(M36&lt;0,M36*-1,M36), "*peso)", " #No 1º Tri equação é igual mulher não gestante")</f>
        <v>584,9 - (7,01*idade) + (5,72*altura) + (11,71*peso) #No 1º Tri equação é igual mulher não gestante</v>
      </c>
      <c r="W36" s="99" t="s">
        <v>135</v>
      </c>
      <c r="X36" s="106"/>
      <c r="Y36" s="106"/>
      <c r="Z36" s="123" t="s">
        <v>204</v>
      </c>
      <c r="AA36" s="125">
        <f>IFERROR(ROUND(VLOOKUP($AA$33,$C$3:$W$55,19,FALSE), 0), "ERRO GRAVE insira as informações corretamente")</f>
        <v>2773</v>
      </c>
      <c r="AB36" s="106"/>
      <c r="AC36" s="108"/>
      <c r="AD36" s="108"/>
      <c r="AE36" s="106"/>
      <c r="AF36" s="106"/>
      <c r="AG36" s="106"/>
      <c r="AH36" s="106"/>
      <c r="AI36" s="106"/>
    </row>
    <row r="37" spans="1:35" ht="21">
      <c r="A37" s="9" t="s">
        <v>116</v>
      </c>
      <c r="B37" s="105" t="str">
        <f t="shared" si="1"/>
        <v>Sexo:Feminino_Nutriz:Nao_Gestante:Sim_Idade:19≤_Atividade:Pouco ativo_Tri:1_MesPosParto:Nao</v>
      </c>
      <c r="C37" s="105" t="s">
        <v>359</v>
      </c>
      <c r="D37" s="96" t="s">
        <v>133</v>
      </c>
      <c r="E37" s="105" t="s">
        <v>153</v>
      </c>
      <c r="F37" s="105" t="s">
        <v>298</v>
      </c>
      <c r="G37" s="105" t="s">
        <v>157</v>
      </c>
      <c r="H37" s="105" t="s">
        <v>121</v>
      </c>
      <c r="I37" s="9" t="s">
        <v>125</v>
      </c>
      <c r="J37" s="9">
        <v>575.77</v>
      </c>
      <c r="K37" s="9">
        <v>-7.01</v>
      </c>
      <c r="L37" s="9">
        <v>6.6</v>
      </c>
      <c r="M37" s="9">
        <v>12.14</v>
      </c>
      <c r="N37" s="9">
        <v>0</v>
      </c>
      <c r="O37" s="9">
        <v>1</v>
      </c>
      <c r="P37" s="9" t="s">
        <v>298</v>
      </c>
      <c r="Q37" s="9" t="s">
        <v>298</v>
      </c>
      <c r="R37" s="9">
        <v>0</v>
      </c>
      <c r="S37" s="9">
        <v>0</v>
      </c>
      <c r="T37" s="9">
        <v>246</v>
      </c>
      <c r="U37">
        <f>J37+(K37*$AA$20)+(L37*$AA$22)+(M37*$AA$21)</f>
        <v>2372.66</v>
      </c>
      <c r="V37" s="9" t="str">
        <f>_xlfn.CONCAT(J37, IF(K37&lt;0, " - ", " + "), "(", IF(K37&lt;0,K37*-1,K37), "*idade)", IF(L37&lt;0, " - ", " + "), "(", IF(L37&lt;0,L37*-1,L37), "*altura)", IF(M37&lt;0, " - ", " + "), "(", IF(M37&lt;0,M37*-1,M37), "*peso)", " #No 1º Tri equação é igual mulher não gestante")</f>
        <v>575,77 - (7,01*idade) + (6,6*altura) + (12,14*peso) #No 1º Tri equação é igual mulher não gestante</v>
      </c>
      <c r="W37" s="99" t="s">
        <v>137</v>
      </c>
      <c r="X37" s="106"/>
      <c r="Y37" s="106"/>
      <c r="Z37" s="123" t="s">
        <v>207</v>
      </c>
      <c r="AA37" s="124" t="str">
        <f>IFERROR(_xlfn.CONCAT(VLOOKUP($AA$33,$C$3:$W$55,18,FALSE)," "), "ERRO GRAVE insira as informações corretamente")</f>
        <v xml:space="preserve">notFound </v>
      </c>
      <c r="AB37" s="106"/>
      <c r="AC37" s="108"/>
      <c r="AD37" s="108"/>
      <c r="AE37" s="106"/>
      <c r="AF37" s="106"/>
      <c r="AG37" s="106"/>
      <c r="AH37" s="106"/>
      <c r="AI37" s="106"/>
    </row>
    <row r="38" spans="1:35" ht="21">
      <c r="A38" s="9" t="s">
        <v>116</v>
      </c>
      <c r="B38" s="105" t="str">
        <f t="shared" si="1"/>
        <v>Sexo:Feminino_Nutriz:Nao_Gestante:Sim_Idade:19≤_Atividade:Ativo_Tri:1_MesPosParto:Nao</v>
      </c>
      <c r="C38" s="105" t="s">
        <v>360</v>
      </c>
      <c r="D38" s="96" t="s">
        <v>133</v>
      </c>
      <c r="E38" s="105" t="s">
        <v>153</v>
      </c>
      <c r="F38" s="105" t="s">
        <v>298</v>
      </c>
      <c r="G38" s="105" t="s">
        <v>157</v>
      </c>
      <c r="H38" s="105" t="s">
        <v>121</v>
      </c>
      <c r="I38" s="9" t="s">
        <v>37</v>
      </c>
      <c r="J38" s="9">
        <v>710.25</v>
      </c>
      <c r="K38" s="9">
        <v>-7.01</v>
      </c>
      <c r="L38" s="9">
        <v>6.54</v>
      </c>
      <c r="M38" s="9">
        <v>12.34</v>
      </c>
      <c r="N38" s="9">
        <v>0</v>
      </c>
      <c r="O38" s="9">
        <v>1</v>
      </c>
      <c r="P38" s="9" t="s">
        <v>298</v>
      </c>
      <c r="Q38" s="9" t="s">
        <v>298</v>
      </c>
      <c r="R38" s="9">
        <v>0</v>
      </c>
      <c r="S38" s="9">
        <v>0</v>
      </c>
      <c r="T38" s="9">
        <v>246</v>
      </c>
      <c r="U38">
        <f>J38+(K38*$AA$20)+(L38*$AA$22)+(M38*$AA$21)</f>
        <v>2509.64</v>
      </c>
      <c r="V38" s="9" t="str">
        <f>_xlfn.CONCAT(J38, IF(K38&lt;0, " - ", " + "), "(", IF(K38&lt;0,K38*-1,K38), "*idade)", IF(L38&lt;0, " - ", " + "), "(", IF(L38&lt;0,L38*-1,L38), "*altura)", IF(M38&lt;0, " - ", " + "), "(", IF(M38&lt;0,M38*-1,M38), "*peso)", " #No 1º Tri equação é igual mulher não gestante")</f>
        <v>710,25 - (7,01*idade) + (6,54*altura) + (12,34*peso) #No 1º Tri equação é igual mulher não gestante</v>
      </c>
      <c r="W38" s="99" t="s">
        <v>139</v>
      </c>
      <c r="X38" s="106"/>
      <c r="Y38" s="106"/>
      <c r="Z38" s="123" t="s">
        <v>210</v>
      </c>
      <c r="AA38" s="124" t="str">
        <f>IFERROR(_xlfn.CONCAT($AA$36-2*$AA$37, " - ", $AA$36+2*$AA$37), "Erro no preenchimento ou no RMSE")</f>
        <v>Erro no preenchimento ou no RMSE</v>
      </c>
      <c r="AB38" s="106"/>
      <c r="AC38" s="108"/>
      <c r="AD38" s="108"/>
      <c r="AE38" s="106"/>
      <c r="AF38" s="106"/>
      <c r="AG38" s="106"/>
      <c r="AH38" s="106"/>
      <c r="AI38" s="106"/>
    </row>
    <row r="39" spans="1:35">
      <c r="A39" s="9" t="s">
        <v>116</v>
      </c>
      <c r="B39" s="105" t="str">
        <f t="shared" si="1"/>
        <v>Sexo:Feminino_Nutriz:Nao_Gestante:Sim_Idade:19≤_Atividade:Muito ativo_Tri:1_MesPosParto:Nao</v>
      </c>
      <c r="C39" s="105" t="s">
        <v>361</v>
      </c>
      <c r="D39" s="96" t="s">
        <v>133</v>
      </c>
      <c r="E39" s="105" t="s">
        <v>153</v>
      </c>
      <c r="F39" s="105" t="s">
        <v>298</v>
      </c>
      <c r="G39" s="105" t="s">
        <v>157</v>
      </c>
      <c r="H39" s="105" t="s">
        <v>121</v>
      </c>
      <c r="I39" s="9" t="s">
        <v>130</v>
      </c>
      <c r="J39" s="9">
        <v>511.83</v>
      </c>
      <c r="K39" s="9">
        <v>-7.01</v>
      </c>
      <c r="L39" s="9">
        <v>9.07</v>
      </c>
      <c r="M39" s="9">
        <v>12.56</v>
      </c>
      <c r="N39" s="9">
        <v>0</v>
      </c>
      <c r="O39" s="9">
        <v>1</v>
      </c>
      <c r="P39" s="9" t="s">
        <v>298</v>
      </c>
      <c r="Q39" s="9" t="s">
        <v>298</v>
      </c>
      <c r="R39" s="9">
        <v>0</v>
      </c>
      <c r="S39" s="9">
        <v>0</v>
      </c>
      <c r="T39" s="9">
        <v>246</v>
      </c>
      <c r="U39">
        <f>J39+(K39*$AA$20)+(L39*$AA$22)+(M39*$AA$21)</f>
        <v>2768.27</v>
      </c>
      <c r="V39" s="9" t="str">
        <f>_xlfn.CONCAT(J39, IF(K39&lt;0, " - ", " + "), "(", IF(K39&lt;0,K39*-1,K39), "*idade)", IF(L39&lt;0, " - ", " + "), "(", IF(L39&lt;0,L39*-1,L39), "*altura)", IF(M39&lt;0, " - ", " + "), "(", IF(M39&lt;0,M39*-1,M39), "*peso)", " #No 1º Tri equação é igual mulher não gestante")</f>
        <v>511,83 - (7,01*idade) + (9,07*altura) + (12,56*peso) #No 1º Tri equação é igual mulher não gestante</v>
      </c>
      <c r="W39" s="99" t="s">
        <v>141</v>
      </c>
      <c r="X39" s="106"/>
      <c r="Y39" s="106"/>
      <c r="Z39" s="106"/>
      <c r="AA39" s="106"/>
      <c r="AB39" s="106"/>
      <c r="AC39" s="108"/>
      <c r="AD39" s="108"/>
      <c r="AE39" s="106"/>
      <c r="AF39" s="106"/>
      <c r="AG39" s="106"/>
      <c r="AH39" s="106"/>
      <c r="AI39" s="106"/>
    </row>
    <row r="40" spans="1:35">
      <c r="A40" s="9" t="s">
        <v>296</v>
      </c>
      <c r="B40" s="105" t="str">
        <f t="shared" si="1"/>
        <v>Sexo:Feminino_Nutriz:Sim_Gestante:Nao_Idade:19≤_Atividade:Inativo_Tri:Nao_MesPosParto:0a6meses</v>
      </c>
      <c r="C40" s="161" t="s">
        <v>362</v>
      </c>
      <c r="D40" s="96" t="s">
        <v>305</v>
      </c>
      <c r="E40" s="105" t="s">
        <v>153</v>
      </c>
      <c r="F40" s="105" t="s">
        <v>157</v>
      </c>
      <c r="G40" s="105" t="s">
        <v>298</v>
      </c>
      <c r="H40" s="105" t="s">
        <v>121</v>
      </c>
      <c r="I40" s="9" t="s">
        <v>122</v>
      </c>
      <c r="J40" s="9">
        <v>584.9</v>
      </c>
      <c r="K40" s="9">
        <v>-7.01</v>
      </c>
      <c r="L40" s="9">
        <v>5.72</v>
      </c>
      <c r="M40" s="9">
        <v>11.71</v>
      </c>
      <c r="N40" s="9">
        <v>0</v>
      </c>
      <c r="O40" s="9" t="s">
        <v>298</v>
      </c>
      <c r="P40" s="9" t="s">
        <v>302</v>
      </c>
      <c r="Q40" s="9" t="s">
        <v>310</v>
      </c>
      <c r="R40" s="9">
        <v>540</v>
      </c>
      <c r="S40" s="9">
        <v>-140</v>
      </c>
      <c r="T40" t="s">
        <v>312</v>
      </c>
      <c r="U40" s="159">
        <f>J40+(K40*$AA$20)+(L40*$AA$22)+(M40*$AA$21)+R40+S40</f>
        <v>2599.84</v>
      </c>
      <c r="V40" s="9" t="str">
        <f>_xlfn.CONCAT(J40, IF(K40&lt;0, " - ", " + "), "(", IF(K40&lt;0,K40*-1,K40), "*idade)", IF(L40&lt;0, " - ", " + "), "(", IF(L40&lt;0,L40*-1,L40), "*altura)", IF(M40&lt;0, " - ", " + "), "(", IF(M40&lt;0,M40*-1,M40), "*peso)", " +  CustoProduçãoLeite"," -  MobilizaçãoEnergia")</f>
        <v>584,9 - (7,01*idade) + (5,72*altura) + (11,71*peso) +  CustoProduçãoLeite -  MobilizaçãoEnergia</v>
      </c>
      <c r="W40" s="9" t="s">
        <v>313</v>
      </c>
      <c r="X40" s="106"/>
      <c r="Y40" s="106"/>
      <c r="Z40" s="106"/>
      <c r="AA40" s="106"/>
      <c r="AB40" s="106"/>
      <c r="AC40" s="108"/>
      <c r="AD40" s="108"/>
      <c r="AE40" s="106"/>
      <c r="AF40" s="106"/>
      <c r="AG40" s="106"/>
      <c r="AH40" s="106"/>
      <c r="AI40" s="106"/>
    </row>
    <row r="41" spans="1:35">
      <c r="A41" s="9" t="s">
        <v>296</v>
      </c>
      <c r="B41" s="105" t="str">
        <f t="shared" si="1"/>
        <v>Sexo:Feminino_Nutriz:Sim_Gestante:Nao_Idade:19≤_Atividade:Pouco ativo_Tri:Nao_MesPosParto:0a6meses</v>
      </c>
      <c r="C41" s="161" t="s">
        <v>363</v>
      </c>
      <c r="D41" s="96" t="s">
        <v>305</v>
      </c>
      <c r="E41" s="105" t="s">
        <v>153</v>
      </c>
      <c r="F41" s="105" t="s">
        <v>157</v>
      </c>
      <c r="G41" s="105" t="s">
        <v>298</v>
      </c>
      <c r="H41" s="105" t="s">
        <v>121</v>
      </c>
      <c r="I41" s="9" t="s">
        <v>125</v>
      </c>
      <c r="J41" s="9">
        <v>575.77</v>
      </c>
      <c r="K41" s="9">
        <v>-7.01</v>
      </c>
      <c r="L41" s="9">
        <v>6.6</v>
      </c>
      <c r="M41" s="9">
        <v>12.14</v>
      </c>
      <c r="N41" s="9">
        <v>0</v>
      </c>
      <c r="O41" s="9" t="s">
        <v>298</v>
      </c>
      <c r="P41" s="9" t="s">
        <v>302</v>
      </c>
      <c r="Q41" s="9" t="s">
        <v>310</v>
      </c>
      <c r="R41" s="9">
        <v>540</v>
      </c>
      <c r="S41" s="9">
        <v>-140</v>
      </c>
      <c r="T41" t="s">
        <v>312</v>
      </c>
      <c r="U41" s="159">
        <f t="shared" ref="U41:U54" si="3">J41+(K41*$AA$20)+(L41*$AA$22)+(M41*$AA$21)+R41+S41</f>
        <v>2772.66</v>
      </c>
      <c r="V41" s="9" t="str">
        <f t="shared" ref="V41:V47" si="4">_xlfn.CONCAT(J41, IF(K41&lt;0, " - ", " + "), "(", IF(K41&lt;0,K41*-1,K41), "*idade)", IF(L41&lt;0, " - ", " + "), "(", IF(L41&lt;0,L41*-1,L41), "*altura)", IF(M41&lt;0, " - ", " + "), "(", IF(M41&lt;0,M41*-1,M41), "*peso)", " +  CustoProduçãoLeite"," -  MobilizaçãoEnergia")</f>
        <v>575,77 - (7,01*idade) + (6,6*altura) + (12,14*peso) +  CustoProduçãoLeite -  MobilizaçãoEnergia</v>
      </c>
      <c r="W41" s="9" t="s">
        <v>314</v>
      </c>
      <c r="X41" s="106"/>
      <c r="Y41" s="106"/>
      <c r="Z41" s="106"/>
      <c r="AA41" s="106"/>
      <c r="AB41" s="106"/>
      <c r="AC41" s="108"/>
      <c r="AD41" s="108"/>
      <c r="AE41" s="106"/>
      <c r="AF41" s="106"/>
      <c r="AG41" s="106"/>
      <c r="AH41" s="106"/>
      <c r="AI41" s="106"/>
    </row>
    <row r="42" spans="1:35">
      <c r="A42" s="9" t="s">
        <v>296</v>
      </c>
      <c r="B42" s="105" t="str">
        <f t="shared" si="1"/>
        <v>Sexo:Feminino_Nutriz:Sim_Gestante:Nao_Idade:19≤_Atividade:Ativo_Tri:Nao_MesPosParto:0a6meses</v>
      </c>
      <c r="C42" s="161" t="s">
        <v>364</v>
      </c>
      <c r="D42" s="96" t="s">
        <v>305</v>
      </c>
      <c r="E42" s="105" t="s">
        <v>153</v>
      </c>
      <c r="F42" s="105" t="s">
        <v>157</v>
      </c>
      <c r="G42" s="105" t="s">
        <v>298</v>
      </c>
      <c r="H42" s="105" t="s">
        <v>121</v>
      </c>
      <c r="I42" s="9" t="s">
        <v>37</v>
      </c>
      <c r="J42" s="9">
        <v>710.25</v>
      </c>
      <c r="K42" s="9">
        <v>-7.01</v>
      </c>
      <c r="L42" s="9">
        <v>6.54</v>
      </c>
      <c r="M42" s="9">
        <v>12.34</v>
      </c>
      <c r="N42" s="9">
        <v>0</v>
      </c>
      <c r="O42" s="9" t="s">
        <v>298</v>
      </c>
      <c r="P42" s="9" t="s">
        <v>302</v>
      </c>
      <c r="Q42" s="9" t="s">
        <v>310</v>
      </c>
      <c r="R42" s="9">
        <v>540</v>
      </c>
      <c r="S42" s="9">
        <v>-140</v>
      </c>
      <c r="T42" t="s">
        <v>312</v>
      </c>
      <c r="U42" s="159">
        <f t="shared" si="3"/>
        <v>2909.64</v>
      </c>
      <c r="V42" s="9" t="str">
        <f t="shared" si="4"/>
        <v>710,25 - (7,01*idade) + (6,54*altura) + (12,34*peso) +  CustoProduçãoLeite -  MobilizaçãoEnergia</v>
      </c>
      <c r="W42" s="9" t="s">
        <v>315</v>
      </c>
      <c r="X42" s="106"/>
      <c r="Y42" s="106"/>
      <c r="Z42" s="106"/>
      <c r="AA42" s="106"/>
      <c r="AB42" s="106"/>
      <c r="AC42" s="108"/>
      <c r="AD42" s="108"/>
      <c r="AE42" s="106"/>
      <c r="AF42" s="106"/>
      <c r="AG42" s="106"/>
      <c r="AH42" s="106"/>
      <c r="AI42" s="106"/>
    </row>
    <row r="43" spans="1:35">
      <c r="A43" s="9" t="s">
        <v>296</v>
      </c>
      <c r="B43" s="105" t="str">
        <f t="shared" si="1"/>
        <v>Sexo:Feminino_Nutriz:Sim_Gestante:Nao_Idade:19≤_Atividade:Muito ativo_Tri:Nao_MesPosParto:0a6meses</v>
      </c>
      <c r="C43" s="161" t="s">
        <v>365</v>
      </c>
      <c r="D43" s="96" t="s">
        <v>305</v>
      </c>
      <c r="E43" s="105" t="s">
        <v>153</v>
      </c>
      <c r="F43" s="105" t="s">
        <v>157</v>
      </c>
      <c r="G43" s="105" t="s">
        <v>298</v>
      </c>
      <c r="H43" s="105" t="s">
        <v>121</v>
      </c>
      <c r="I43" s="9" t="s">
        <v>130</v>
      </c>
      <c r="J43" s="9">
        <v>511.83</v>
      </c>
      <c r="K43" s="9">
        <v>-7.01</v>
      </c>
      <c r="L43" s="9">
        <v>9.07</v>
      </c>
      <c r="M43" s="9">
        <v>12.56</v>
      </c>
      <c r="N43" s="9">
        <v>0</v>
      </c>
      <c r="O43" s="9" t="s">
        <v>298</v>
      </c>
      <c r="P43" s="9" t="s">
        <v>302</v>
      </c>
      <c r="Q43" s="9" t="s">
        <v>310</v>
      </c>
      <c r="R43" s="9">
        <v>540</v>
      </c>
      <c r="S43" s="9">
        <v>-140</v>
      </c>
      <c r="T43" t="s">
        <v>312</v>
      </c>
      <c r="U43" s="159">
        <f t="shared" si="3"/>
        <v>3168.27</v>
      </c>
      <c r="V43" s="9" t="str">
        <f t="shared" si="4"/>
        <v>511,83 - (7,01*idade) + (9,07*altura) + (12,56*peso) +  CustoProduçãoLeite -  MobilizaçãoEnergia</v>
      </c>
      <c r="W43" s="9" t="s">
        <v>316</v>
      </c>
      <c r="X43" s="106"/>
      <c r="Y43" s="106"/>
      <c r="Z43" s="106"/>
      <c r="AA43" s="106"/>
      <c r="AB43" s="106"/>
      <c r="AC43" s="108"/>
      <c r="AD43" s="108"/>
      <c r="AE43" s="106"/>
      <c r="AF43" s="106"/>
      <c r="AG43" s="106"/>
      <c r="AH43" s="106"/>
      <c r="AI43" s="106"/>
    </row>
    <row r="44" spans="1:35">
      <c r="A44" s="9" t="s">
        <v>296</v>
      </c>
      <c r="B44" s="105" t="str">
        <f t="shared" si="1"/>
        <v>Sexo:Feminino_Nutriz:Sim_Gestante:Nao_Idade:&lt;19_Atividade:Inativo_Tri:Nao_MesPosParto:0a6meses</v>
      </c>
      <c r="C44" s="161" t="s">
        <v>366</v>
      </c>
      <c r="D44" s="96" t="s">
        <v>306</v>
      </c>
      <c r="E44" s="105" t="s">
        <v>153</v>
      </c>
      <c r="F44" s="105" t="s">
        <v>157</v>
      </c>
      <c r="G44" s="105" t="s">
        <v>298</v>
      </c>
      <c r="H44" s="105" t="s">
        <v>297</v>
      </c>
      <c r="I44" s="9" t="s">
        <v>122</v>
      </c>
      <c r="J44" s="9">
        <v>55.59</v>
      </c>
      <c r="K44" s="9">
        <v>-22.25</v>
      </c>
      <c r="L44" s="9">
        <v>8.43</v>
      </c>
      <c r="M44" s="9">
        <v>17.07</v>
      </c>
      <c r="N44" s="9">
        <v>0</v>
      </c>
      <c r="O44" s="9" t="s">
        <v>298</v>
      </c>
      <c r="P44" s="9" t="s">
        <v>302</v>
      </c>
      <c r="Q44" s="9" t="s">
        <v>310</v>
      </c>
      <c r="R44" s="9">
        <v>540</v>
      </c>
      <c r="S44" s="9">
        <v>-140</v>
      </c>
      <c r="T44" t="s">
        <v>312</v>
      </c>
      <c r="U44" s="159">
        <f t="shared" si="3"/>
        <v>2573.1400000000003</v>
      </c>
      <c r="V44" s="9" t="str">
        <f t="shared" si="4"/>
        <v>55,59 - (22,25*idade) + (8,43*altura) + (17,07*peso) +  CustoProduçãoLeite -  MobilizaçãoEnergia</v>
      </c>
      <c r="W44" s="9" t="s">
        <v>317</v>
      </c>
      <c r="X44" s="106"/>
      <c r="Y44" s="106"/>
      <c r="Z44" s="106"/>
      <c r="AA44" s="106"/>
      <c r="AB44" s="106"/>
      <c r="AC44" s="108"/>
      <c r="AD44" s="108"/>
      <c r="AE44" s="106"/>
      <c r="AF44" s="106"/>
      <c r="AG44" s="106"/>
      <c r="AH44" s="106"/>
      <c r="AI44" s="106"/>
    </row>
    <row r="45" spans="1:35">
      <c r="A45" s="9" t="s">
        <v>296</v>
      </c>
      <c r="B45" s="105" t="str">
        <f t="shared" si="1"/>
        <v>Sexo:Feminino_Nutriz:Sim_Gestante:Nao_Idade:&lt;19_Atividade:Pouco ativo_Tri:Nao_MesPosParto:0a6meses</v>
      </c>
      <c r="C45" s="161" t="s">
        <v>367</v>
      </c>
      <c r="D45" s="96" t="s">
        <v>306</v>
      </c>
      <c r="E45" s="105" t="s">
        <v>153</v>
      </c>
      <c r="F45" s="105" t="s">
        <v>157</v>
      </c>
      <c r="G45" s="105" t="s">
        <v>298</v>
      </c>
      <c r="H45" s="105" t="s">
        <v>297</v>
      </c>
      <c r="I45" s="9" t="s">
        <v>125</v>
      </c>
      <c r="J45" s="9">
        <v>-297.54000000000002</v>
      </c>
      <c r="K45" s="9">
        <v>-22.25</v>
      </c>
      <c r="L45" s="9">
        <v>12.77</v>
      </c>
      <c r="M45" s="9">
        <v>14.73</v>
      </c>
      <c r="N45" s="9">
        <v>0</v>
      </c>
      <c r="O45" s="9" t="s">
        <v>298</v>
      </c>
      <c r="P45" s="9" t="s">
        <v>302</v>
      </c>
      <c r="Q45" s="9" t="s">
        <v>310</v>
      </c>
      <c r="R45" s="9">
        <v>540</v>
      </c>
      <c r="S45" s="9">
        <v>-140</v>
      </c>
      <c r="T45" t="s">
        <v>312</v>
      </c>
      <c r="U45" s="159">
        <f t="shared" si="3"/>
        <v>2827.41</v>
      </c>
      <c r="V45" s="9" t="str">
        <f t="shared" si="4"/>
        <v>-297,54 - (22,25*idade) + (12,77*altura) + (14,73*peso) +  CustoProduçãoLeite -  MobilizaçãoEnergia</v>
      </c>
      <c r="W45" s="9" t="s">
        <v>318</v>
      </c>
      <c r="X45" s="106"/>
      <c r="Y45" s="106"/>
      <c r="Z45" s="106"/>
      <c r="AA45" s="106"/>
      <c r="AB45" s="106"/>
      <c r="AC45" s="108"/>
      <c r="AD45" s="108"/>
      <c r="AE45" s="106"/>
      <c r="AF45" s="106"/>
      <c r="AG45" s="106"/>
      <c r="AH45" s="106"/>
      <c r="AI45" s="106"/>
    </row>
    <row r="46" spans="1:35">
      <c r="A46" s="9" t="s">
        <v>296</v>
      </c>
      <c r="B46" s="105" t="str">
        <f t="shared" si="1"/>
        <v>Sexo:Feminino_Nutriz:Sim_Gestante:Nao_Idade:&lt;19_Atividade:Ativo_Tri:Nao_MesPosParto:0a6meses</v>
      </c>
      <c r="C46" s="161" t="s">
        <v>368</v>
      </c>
      <c r="D46" s="96" t="s">
        <v>306</v>
      </c>
      <c r="E46" s="105" t="s">
        <v>153</v>
      </c>
      <c r="F46" s="105" t="s">
        <v>157</v>
      </c>
      <c r="G46" s="105" t="s">
        <v>298</v>
      </c>
      <c r="H46" s="105" t="s">
        <v>297</v>
      </c>
      <c r="I46" s="9" t="s">
        <v>37</v>
      </c>
      <c r="J46" s="9">
        <v>-189.55</v>
      </c>
      <c r="K46" s="9">
        <v>-22.25</v>
      </c>
      <c r="L46" s="9">
        <v>11.74</v>
      </c>
      <c r="M46" s="9">
        <v>18.34</v>
      </c>
      <c r="N46" s="9">
        <v>0</v>
      </c>
      <c r="O46" s="9" t="s">
        <v>298</v>
      </c>
      <c r="P46" s="9" t="s">
        <v>302</v>
      </c>
      <c r="Q46" s="9" t="s">
        <v>310</v>
      </c>
      <c r="R46" s="9">
        <v>540</v>
      </c>
      <c r="S46" s="9">
        <v>-140</v>
      </c>
      <c r="T46" t="s">
        <v>312</v>
      </c>
      <c r="U46" s="159">
        <f t="shared" si="3"/>
        <v>2989.8</v>
      </c>
      <c r="V46" s="9" t="str">
        <f t="shared" si="4"/>
        <v>-189,55 - (22,25*idade) + (11,74*altura) + (18,34*peso) +  CustoProduçãoLeite -  MobilizaçãoEnergia</v>
      </c>
      <c r="W46" s="9" t="s">
        <v>319</v>
      </c>
      <c r="X46" s="106"/>
      <c r="Y46" s="106"/>
      <c r="Z46" s="106"/>
      <c r="AA46" s="106"/>
      <c r="AB46" s="106"/>
      <c r="AC46" s="108"/>
      <c r="AD46" s="108"/>
      <c r="AE46" s="106"/>
      <c r="AF46" s="106"/>
      <c r="AG46" s="106"/>
      <c r="AH46" s="106"/>
      <c r="AI46" s="106"/>
    </row>
    <row r="47" spans="1:35">
      <c r="A47" s="9" t="s">
        <v>296</v>
      </c>
      <c r="B47" s="105" t="str">
        <f t="shared" si="1"/>
        <v>Sexo:Feminino_Nutriz:Sim_Gestante:Nao_Idade:&lt;19_Atividade:Muito ativo_Tri:Nao_MesPosParto:0a6meses</v>
      </c>
      <c r="C47" s="161" t="s">
        <v>369</v>
      </c>
      <c r="D47" s="96" t="s">
        <v>306</v>
      </c>
      <c r="E47" s="105" t="s">
        <v>153</v>
      </c>
      <c r="F47" s="105" t="s">
        <v>157</v>
      </c>
      <c r="G47" s="105" t="s">
        <v>298</v>
      </c>
      <c r="H47" s="105" t="s">
        <v>297</v>
      </c>
      <c r="I47" s="9" t="s">
        <v>130</v>
      </c>
      <c r="J47" s="9">
        <v>-709.59</v>
      </c>
      <c r="K47" s="9">
        <v>-22.25</v>
      </c>
      <c r="L47" s="9">
        <v>18.22</v>
      </c>
      <c r="M47" s="9">
        <v>14.25</v>
      </c>
      <c r="N47" s="9">
        <v>0</v>
      </c>
      <c r="O47" s="9" t="s">
        <v>298</v>
      </c>
      <c r="P47" s="9" t="s">
        <v>302</v>
      </c>
      <c r="Q47" s="9" t="s">
        <v>310</v>
      </c>
      <c r="R47" s="9">
        <v>540</v>
      </c>
      <c r="S47" s="9">
        <v>-140</v>
      </c>
      <c r="T47" t="s">
        <v>312</v>
      </c>
      <c r="U47" s="159">
        <f t="shared" si="3"/>
        <v>3337.91</v>
      </c>
      <c r="V47" s="9" t="str">
        <f t="shared" si="4"/>
        <v>-709,59 - (22,25*idade) + (18,22*altura) + (14,25*peso) +  CustoProduçãoLeite -  MobilizaçãoEnergia</v>
      </c>
      <c r="W47" s="9" t="s">
        <v>320</v>
      </c>
      <c r="X47" s="106"/>
      <c r="Y47" s="106"/>
      <c r="Z47" s="106"/>
      <c r="AA47" s="106"/>
      <c r="AB47" s="106"/>
      <c r="AC47" s="108"/>
      <c r="AD47" s="108"/>
      <c r="AE47" s="106"/>
      <c r="AF47" s="106"/>
      <c r="AG47" s="106"/>
      <c r="AH47" s="106"/>
      <c r="AI47" s="106"/>
    </row>
    <row r="48" spans="1:35">
      <c r="A48" s="9" t="s">
        <v>304</v>
      </c>
      <c r="B48" s="105" t="str">
        <f t="shared" si="1"/>
        <v>Sexo:Feminino_Nutriz:Sim_Gestante:Nao_Idade:19≤_Atividade:Inativo_Tri:Nao_MesPosParto:7a12meses</v>
      </c>
      <c r="C48" s="161" t="s">
        <v>370</v>
      </c>
      <c r="D48" s="96" t="s">
        <v>307</v>
      </c>
      <c r="E48" s="105" t="s">
        <v>153</v>
      </c>
      <c r="F48" s="105" t="s">
        <v>157</v>
      </c>
      <c r="G48" s="105" t="s">
        <v>298</v>
      </c>
      <c r="H48" s="105" t="s">
        <v>121</v>
      </c>
      <c r="I48" s="9" t="s">
        <v>122</v>
      </c>
      <c r="J48" s="9">
        <v>584.9</v>
      </c>
      <c r="K48" s="9">
        <v>-7.01</v>
      </c>
      <c r="L48" s="9">
        <v>5.72</v>
      </c>
      <c r="M48" s="9">
        <v>11.71</v>
      </c>
      <c r="N48" s="9">
        <v>0</v>
      </c>
      <c r="O48" s="9" t="s">
        <v>298</v>
      </c>
      <c r="P48" s="9" t="s">
        <v>311</v>
      </c>
      <c r="Q48" s="9" t="s">
        <v>309</v>
      </c>
      <c r="R48" s="9">
        <v>380</v>
      </c>
      <c r="S48" s="9">
        <v>0</v>
      </c>
      <c r="T48" t="s">
        <v>312</v>
      </c>
      <c r="U48" s="159">
        <f t="shared" si="3"/>
        <v>2579.84</v>
      </c>
      <c r="V48" s="9" t="str">
        <f>_xlfn.CONCAT(J48, IF(K48&lt;0, " - ", " + "), "(", IF(K48&lt;0,K48*-1,K48), "*idade)", IF(L48&lt;0, " - ", " + "), "(", IF(L48&lt;0,L48*-1,L48), "*altura)", IF(M48&lt;0, " - ", " + "), "(", IF(M48&lt;0,M48*-1,M48), "*peso)", " +  CustoProduçãoLeite",)</f>
        <v>584,9 - (7,01*idade) + (5,72*altura) + (11,71*peso) +  CustoProduçãoLeite</v>
      </c>
      <c r="W48" s="9" t="s">
        <v>321</v>
      </c>
      <c r="X48" s="106"/>
      <c r="Y48" s="106"/>
      <c r="Z48" s="106"/>
      <c r="AA48" s="106"/>
      <c r="AB48" s="106"/>
      <c r="AC48" s="108"/>
      <c r="AD48" s="108"/>
      <c r="AE48" s="106"/>
      <c r="AF48" s="106"/>
      <c r="AG48" s="106"/>
      <c r="AH48" s="106"/>
      <c r="AI48" s="106"/>
    </row>
    <row r="49" spans="1:35">
      <c r="A49" s="9" t="s">
        <v>304</v>
      </c>
      <c r="B49" s="105" t="str">
        <f t="shared" si="1"/>
        <v>Sexo:Feminino_Nutriz:Sim_Gestante:Nao_Idade:19≤_Atividade:Pouco ativo_Tri:Nao_MesPosParto:7a12meses</v>
      </c>
      <c r="C49" s="161" t="s">
        <v>371</v>
      </c>
      <c r="D49" s="96" t="s">
        <v>307</v>
      </c>
      <c r="E49" s="105" t="s">
        <v>153</v>
      </c>
      <c r="F49" s="105" t="s">
        <v>157</v>
      </c>
      <c r="G49" s="105" t="s">
        <v>298</v>
      </c>
      <c r="H49" s="105" t="s">
        <v>121</v>
      </c>
      <c r="I49" s="9" t="s">
        <v>125</v>
      </c>
      <c r="J49" s="9">
        <v>575.77</v>
      </c>
      <c r="K49" s="9">
        <v>-7.01</v>
      </c>
      <c r="L49" s="9">
        <v>6.6</v>
      </c>
      <c r="M49" s="9">
        <v>12.14</v>
      </c>
      <c r="N49" s="9">
        <v>0</v>
      </c>
      <c r="O49" s="9" t="s">
        <v>298</v>
      </c>
      <c r="P49" s="9" t="s">
        <v>311</v>
      </c>
      <c r="Q49" s="9" t="s">
        <v>309</v>
      </c>
      <c r="R49" s="9">
        <v>380</v>
      </c>
      <c r="S49" s="9">
        <v>0</v>
      </c>
      <c r="T49" t="s">
        <v>312</v>
      </c>
      <c r="U49" s="159">
        <f t="shared" si="3"/>
        <v>2752.66</v>
      </c>
      <c r="V49" s="9" t="str">
        <f t="shared" ref="V49:V55" si="5">_xlfn.CONCAT(J49, IF(K49&lt;0, " - ", " + "), "(", IF(K49&lt;0,K49*-1,K49), "*idade)", IF(L49&lt;0, " - ", " + "), "(", IF(L49&lt;0,L49*-1,L49), "*altura)", IF(M49&lt;0, " - ", " + "), "(", IF(M49&lt;0,M49*-1,M49), "*peso)", " +  CustoProduçãoLeite",)</f>
        <v>575,77 - (7,01*idade) + (6,6*altura) + (12,14*peso) +  CustoProduçãoLeite</v>
      </c>
      <c r="W49" s="9" t="s">
        <v>322</v>
      </c>
      <c r="X49" s="106"/>
      <c r="Y49" s="106"/>
      <c r="Z49" s="106"/>
      <c r="AA49" s="106"/>
      <c r="AB49" s="106"/>
      <c r="AC49" s="108"/>
      <c r="AD49" s="108"/>
      <c r="AE49" s="106"/>
      <c r="AF49" s="106"/>
      <c r="AG49" s="106"/>
      <c r="AH49" s="106"/>
      <c r="AI49" s="106"/>
    </row>
    <row r="50" spans="1:35">
      <c r="A50" s="9" t="s">
        <v>304</v>
      </c>
      <c r="B50" s="105" t="str">
        <f t="shared" si="1"/>
        <v>Sexo:Feminino_Nutriz:Sim_Gestante:Nao_Idade:19≤_Atividade:Ativo_Tri:Nao_MesPosParto:7a12meses</v>
      </c>
      <c r="C50" s="161" t="s">
        <v>372</v>
      </c>
      <c r="D50" s="96" t="s">
        <v>307</v>
      </c>
      <c r="E50" s="105" t="s">
        <v>153</v>
      </c>
      <c r="F50" s="105" t="s">
        <v>157</v>
      </c>
      <c r="G50" s="105" t="s">
        <v>298</v>
      </c>
      <c r="H50" s="105" t="s">
        <v>121</v>
      </c>
      <c r="I50" s="9" t="s">
        <v>37</v>
      </c>
      <c r="J50" s="9">
        <v>710.25</v>
      </c>
      <c r="K50" s="9">
        <v>-7.01</v>
      </c>
      <c r="L50" s="9">
        <v>6.54</v>
      </c>
      <c r="M50" s="9">
        <v>12.34</v>
      </c>
      <c r="N50" s="9">
        <v>0</v>
      </c>
      <c r="O50" s="9" t="s">
        <v>298</v>
      </c>
      <c r="P50" s="9" t="s">
        <v>311</v>
      </c>
      <c r="Q50" s="9" t="s">
        <v>309</v>
      </c>
      <c r="R50" s="9">
        <v>380</v>
      </c>
      <c r="S50" s="9">
        <v>0</v>
      </c>
      <c r="T50" t="s">
        <v>312</v>
      </c>
      <c r="U50" s="159">
        <f t="shared" si="3"/>
        <v>2889.64</v>
      </c>
      <c r="V50" s="9" t="str">
        <f t="shared" si="5"/>
        <v>710,25 - (7,01*idade) + (6,54*altura) + (12,34*peso) +  CustoProduçãoLeite</v>
      </c>
      <c r="W50" s="9" t="s">
        <v>323</v>
      </c>
      <c r="X50" s="106"/>
      <c r="Y50" s="106"/>
      <c r="Z50" s="106"/>
      <c r="AA50" s="106"/>
      <c r="AB50" s="106"/>
      <c r="AC50" s="108"/>
      <c r="AD50" s="108"/>
      <c r="AE50" s="106"/>
      <c r="AF50" s="106"/>
      <c r="AG50" s="106"/>
      <c r="AH50" s="106"/>
      <c r="AI50" s="106"/>
    </row>
    <row r="51" spans="1:35">
      <c r="A51" s="9" t="s">
        <v>304</v>
      </c>
      <c r="B51" s="105" t="str">
        <f t="shared" si="1"/>
        <v>Sexo:Feminino_Nutriz:Sim_Gestante:Nao_Idade:19≤_Atividade:Muito ativo_Tri:Nao_MesPosParto:7a12meses</v>
      </c>
      <c r="C51" s="161" t="s">
        <v>373</v>
      </c>
      <c r="D51" s="96" t="s">
        <v>307</v>
      </c>
      <c r="E51" s="105" t="s">
        <v>153</v>
      </c>
      <c r="F51" s="105" t="s">
        <v>157</v>
      </c>
      <c r="G51" s="105" t="s">
        <v>298</v>
      </c>
      <c r="H51" s="105" t="s">
        <v>121</v>
      </c>
      <c r="I51" s="9" t="s">
        <v>130</v>
      </c>
      <c r="J51" s="9">
        <v>511.83</v>
      </c>
      <c r="K51" s="9">
        <v>-7.01</v>
      </c>
      <c r="L51" s="9">
        <v>9.07</v>
      </c>
      <c r="M51" s="9">
        <v>12.56</v>
      </c>
      <c r="N51" s="9">
        <v>0</v>
      </c>
      <c r="O51" s="9" t="s">
        <v>298</v>
      </c>
      <c r="P51" s="9" t="s">
        <v>311</v>
      </c>
      <c r="Q51" s="9" t="s">
        <v>309</v>
      </c>
      <c r="R51" s="9">
        <v>380</v>
      </c>
      <c r="S51" s="9">
        <v>0</v>
      </c>
      <c r="T51" t="s">
        <v>312</v>
      </c>
      <c r="U51" s="159">
        <f t="shared" si="3"/>
        <v>3148.27</v>
      </c>
      <c r="V51" s="9" t="str">
        <f t="shared" si="5"/>
        <v>511,83 - (7,01*idade) + (9,07*altura) + (12,56*peso) +  CustoProduçãoLeite</v>
      </c>
      <c r="W51" s="9" t="s">
        <v>324</v>
      </c>
      <c r="X51" s="106"/>
      <c r="Y51" s="106"/>
      <c r="Z51" s="106"/>
      <c r="AA51" s="106"/>
      <c r="AB51" s="106"/>
      <c r="AC51" s="108"/>
      <c r="AD51" s="108"/>
      <c r="AE51" s="106"/>
      <c r="AF51" s="106"/>
      <c r="AG51" s="106"/>
      <c r="AH51" s="106"/>
      <c r="AI51" s="106"/>
    </row>
    <row r="52" spans="1:35">
      <c r="A52" s="9" t="s">
        <v>304</v>
      </c>
      <c r="B52" s="105" t="str">
        <f t="shared" si="1"/>
        <v>Sexo:Feminino_Nutriz:Sim_Gestante:Nao_Idade:&lt;19_Atividade:Inativo_Tri:Nao_MesPosParto:7a12meses</v>
      </c>
      <c r="C52" s="161" t="s">
        <v>374</v>
      </c>
      <c r="D52" s="96" t="s">
        <v>308</v>
      </c>
      <c r="E52" s="105" t="s">
        <v>153</v>
      </c>
      <c r="F52" s="105" t="s">
        <v>157</v>
      </c>
      <c r="G52" s="105" t="s">
        <v>298</v>
      </c>
      <c r="H52" s="105" t="s">
        <v>297</v>
      </c>
      <c r="I52" s="9" t="s">
        <v>122</v>
      </c>
      <c r="J52" s="9">
        <v>55.59</v>
      </c>
      <c r="K52" s="9">
        <v>-22.25</v>
      </c>
      <c r="L52" s="9">
        <v>8.43</v>
      </c>
      <c r="M52" s="9">
        <v>17.07</v>
      </c>
      <c r="N52" s="9">
        <v>0</v>
      </c>
      <c r="O52" s="9" t="s">
        <v>298</v>
      </c>
      <c r="P52" s="9" t="s">
        <v>311</v>
      </c>
      <c r="Q52" s="9" t="s">
        <v>309</v>
      </c>
      <c r="R52" s="9">
        <v>380</v>
      </c>
      <c r="S52" s="9">
        <v>0</v>
      </c>
      <c r="T52" t="s">
        <v>312</v>
      </c>
      <c r="U52" s="159">
        <f t="shared" si="3"/>
        <v>2553.1400000000003</v>
      </c>
      <c r="V52" s="9" t="str">
        <f t="shared" si="5"/>
        <v>55,59 - (22,25*idade) + (8,43*altura) + (17,07*peso) +  CustoProduçãoLeite</v>
      </c>
      <c r="W52" s="9" t="s">
        <v>325</v>
      </c>
      <c r="X52" s="106"/>
      <c r="Y52" s="106"/>
      <c r="Z52" s="106"/>
      <c r="AA52" s="106"/>
      <c r="AB52" s="106"/>
      <c r="AC52" s="108"/>
      <c r="AD52" s="108"/>
      <c r="AE52" s="106"/>
      <c r="AF52" s="106"/>
      <c r="AG52" s="106"/>
      <c r="AH52" s="106"/>
      <c r="AI52" s="106"/>
    </row>
    <row r="53" spans="1:35">
      <c r="A53" s="9" t="s">
        <v>304</v>
      </c>
      <c r="B53" s="105" t="str">
        <f t="shared" si="1"/>
        <v>Sexo:Feminino_Nutriz:Sim_Gestante:Nao_Idade:&lt;19_Atividade:Pouco ativo_Tri:Nao_MesPosParto:7a12meses</v>
      </c>
      <c r="C53" s="161" t="s">
        <v>375</v>
      </c>
      <c r="D53" s="96" t="s">
        <v>308</v>
      </c>
      <c r="E53" s="105" t="s">
        <v>153</v>
      </c>
      <c r="F53" s="105" t="s">
        <v>157</v>
      </c>
      <c r="G53" s="105" t="s">
        <v>298</v>
      </c>
      <c r="H53" s="105" t="s">
        <v>297</v>
      </c>
      <c r="I53" s="9" t="s">
        <v>125</v>
      </c>
      <c r="J53" s="9">
        <v>-297.54000000000002</v>
      </c>
      <c r="K53" s="9">
        <v>-22.25</v>
      </c>
      <c r="L53" s="9">
        <v>12.77</v>
      </c>
      <c r="M53" s="9">
        <v>14.73</v>
      </c>
      <c r="N53" s="9">
        <v>0</v>
      </c>
      <c r="O53" s="9" t="s">
        <v>298</v>
      </c>
      <c r="P53" s="9" t="s">
        <v>311</v>
      </c>
      <c r="Q53" s="9" t="s">
        <v>309</v>
      </c>
      <c r="R53" s="9">
        <v>380</v>
      </c>
      <c r="S53" s="9">
        <v>0</v>
      </c>
      <c r="T53" t="s">
        <v>312</v>
      </c>
      <c r="U53" s="159">
        <f t="shared" si="3"/>
        <v>2807.41</v>
      </c>
      <c r="V53" s="9" t="str">
        <f t="shared" si="5"/>
        <v>-297,54 - (22,25*idade) + (12,77*altura) + (14,73*peso) +  CustoProduçãoLeite</v>
      </c>
      <c r="W53" s="9" t="s">
        <v>326</v>
      </c>
      <c r="X53" s="106"/>
      <c r="Y53" s="106"/>
      <c r="Z53" s="106"/>
      <c r="AA53" s="106"/>
      <c r="AB53" s="106"/>
      <c r="AC53" s="108"/>
      <c r="AD53" s="108"/>
      <c r="AE53" s="106"/>
      <c r="AF53" s="106"/>
      <c r="AG53" s="106"/>
      <c r="AH53" s="106"/>
      <c r="AI53" s="106"/>
    </row>
    <row r="54" spans="1:35">
      <c r="A54" s="9" t="s">
        <v>304</v>
      </c>
      <c r="B54" s="105" t="str">
        <f t="shared" si="1"/>
        <v>Sexo:Feminino_Nutriz:Sim_Gestante:Nao_Idade:&lt;19_Atividade:Ativo_Tri:Nao_MesPosParto:7a12meses</v>
      </c>
      <c r="C54" s="161" t="s">
        <v>376</v>
      </c>
      <c r="D54" s="96" t="s">
        <v>308</v>
      </c>
      <c r="E54" s="105" t="s">
        <v>153</v>
      </c>
      <c r="F54" s="105" t="s">
        <v>157</v>
      </c>
      <c r="G54" s="105" t="s">
        <v>298</v>
      </c>
      <c r="H54" s="105" t="s">
        <v>297</v>
      </c>
      <c r="I54" s="9" t="s">
        <v>37</v>
      </c>
      <c r="J54" s="9">
        <v>-189.55</v>
      </c>
      <c r="K54" s="9">
        <v>-22.25</v>
      </c>
      <c r="L54" s="9">
        <v>11.74</v>
      </c>
      <c r="M54" s="9">
        <v>18.34</v>
      </c>
      <c r="N54" s="9">
        <v>0</v>
      </c>
      <c r="O54" s="9" t="s">
        <v>298</v>
      </c>
      <c r="P54" s="9" t="s">
        <v>311</v>
      </c>
      <c r="Q54" s="9" t="s">
        <v>309</v>
      </c>
      <c r="R54" s="9">
        <v>380</v>
      </c>
      <c r="S54" s="9">
        <v>0</v>
      </c>
      <c r="T54" t="s">
        <v>312</v>
      </c>
      <c r="U54" s="159">
        <f t="shared" si="3"/>
        <v>2969.8</v>
      </c>
      <c r="V54" s="9" t="str">
        <f t="shared" si="5"/>
        <v>-189,55 - (22,25*idade) + (11,74*altura) + (18,34*peso) +  CustoProduçãoLeite</v>
      </c>
      <c r="W54" s="9" t="s">
        <v>327</v>
      </c>
      <c r="X54" s="106"/>
      <c r="Y54" s="106"/>
      <c r="Z54" s="106"/>
      <c r="AA54" s="106"/>
      <c r="AB54" s="106"/>
      <c r="AC54" s="108"/>
      <c r="AD54" s="108"/>
      <c r="AE54" s="106"/>
      <c r="AF54" s="106"/>
      <c r="AG54" s="106"/>
      <c r="AH54" s="106"/>
      <c r="AI54" s="106"/>
    </row>
    <row r="55" spans="1:35">
      <c r="A55" s="9" t="s">
        <v>304</v>
      </c>
      <c r="B55" s="105" t="str">
        <f t="shared" si="1"/>
        <v>Sexo:Feminino_Nutriz:Sim_Gestante:Nao_Idade:&lt;19_Atividade:Muito ativo_Tri:Nao_MesPosParto:7a12meses</v>
      </c>
      <c r="C55" s="161" t="s">
        <v>377</v>
      </c>
      <c r="D55" s="96" t="s">
        <v>308</v>
      </c>
      <c r="E55" s="105" t="s">
        <v>153</v>
      </c>
      <c r="F55" s="105" t="s">
        <v>157</v>
      </c>
      <c r="G55" s="105" t="s">
        <v>298</v>
      </c>
      <c r="H55" s="105" t="s">
        <v>297</v>
      </c>
      <c r="I55" s="9" t="s">
        <v>130</v>
      </c>
      <c r="J55" s="9">
        <v>-709.59</v>
      </c>
      <c r="K55" s="9">
        <v>-22.25</v>
      </c>
      <c r="L55" s="9">
        <v>18.22</v>
      </c>
      <c r="M55" s="9">
        <v>14.25</v>
      </c>
      <c r="N55" s="9">
        <v>0</v>
      </c>
      <c r="O55" s="9" t="s">
        <v>298</v>
      </c>
      <c r="P55" s="9" t="s">
        <v>311</v>
      </c>
      <c r="Q55" s="9" t="s">
        <v>309</v>
      </c>
      <c r="R55" s="9">
        <v>380</v>
      </c>
      <c r="S55" s="9">
        <v>0</v>
      </c>
      <c r="T55" t="s">
        <v>312</v>
      </c>
      <c r="U55" s="159">
        <f>J55+(K55*$AA$20)+(L55*$AA$22)+(M55*$AA$21)+R55+S55</f>
        <v>3317.91</v>
      </c>
      <c r="V55" s="9" t="str">
        <f t="shared" si="5"/>
        <v>-709,59 - (22,25*idade) + (18,22*altura) + (14,25*peso) +  CustoProduçãoLeite</v>
      </c>
      <c r="W55" s="9" t="s">
        <v>328</v>
      </c>
      <c r="X55" s="106"/>
      <c r="Y55" s="106"/>
      <c r="Z55" s="106"/>
      <c r="AA55" s="106"/>
      <c r="AB55" s="106"/>
      <c r="AC55" s="108"/>
      <c r="AD55" s="108"/>
      <c r="AE55" s="106"/>
      <c r="AF55" s="106"/>
      <c r="AG55" s="106"/>
      <c r="AH55" s="106"/>
      <c r="AI55" s="106"/>
    </row>
    <row r="56" spans="1:35">
      <c r="X56" s="106"/>
      <c r="Y56" s="106"/>
      <c r="Z56" s="106"/>
      <c r="AA56" s="106"/>
      <c r="AB56" s="106"/>
      <c r="AC56" s="108"/>
      <c r="AD56" s="108"/>
      <c r="AE56" s="106"/>
      <c r="AF56" s="106"/>
      <c r="AG56" s="106"/>
      <c r="AH56" s="106"/>
      <c r="AI56" s="106"/>
    </row>
    <row r="57" spans="1:35">
      <c r="X57" s="106"/>
      <c r="Y57" s="106"/>
      <c r="Z57" s="106"/>
      <c r="AA57" s="106"/>
      <c r="AB57" s="106"/>
      <c r="AC57" s="108"/>
      <c r="AD57" s="108"/>
      <c r="AE57" s="106"/>
      <c r="AF57" s="106"/>
      <c r="AG57" s="106"/>
      <c r="AH57" s="106"/>
      <c r="AI57" s="106"/>
    </row>
    <row r="58" spans="1:35">
      <c r="X58" s="106"/>
      <c r="Y58" s="106"/>
      <c r="Z58" s="106"/>
      <c r="AA58" s="106"/>
      <c r="AB58" s="106"/>
      <c r="AC58" s="108"/>
      <c r="AD58" s="108"/>
      <c r="AE58" s="106"/>
      <c r="AF58" s="106"/>
      <c r="AG58" s="106"/>
      <c r="AH58" s="106"/>
      <c r="AI58" s="106"/>
    </row>
    <row r="59" spans="1:35">
      <c r="X59" s="106"/>
      <c r="Y59" s="106"/>
      <c r="Z59" s="106"/>
      <c r="AA59" s="106"/>
      <c r="AB59" s="106"/>
      <c r="AC59" s="108"/>
      <c r="AD59" s="108"/>
      <c r="AE59" s="106"/>
      <c r="AF59" s="106"/>
      <c r="AG59" s="106"/>
      <c r="AH59" s="106"/>
      <c r="AI59" s="106"/>
    </row>
    <row r="60" spans="1:35">
      <c r="X60" s="106"/>
      <c r="Y60" s="106"/>
      <c r="Z60" s="106"/>
      <c r="AA60" s="106"/>
      <c r="AB60" s="106"/>
      <c r="AC60" s="108"/>
      <c r="AD60" s="108"/>
      <c r="AE60" s="106"/>
      <c r="AF60" s="106"/>
      <c r="AG60" s="106"/>
      <c r="AH60" s="106"/>
      <c r="AI60" s="106"/>
    </row>
    <row r="61" spans="1:35">
      <c r="X61" s="106"/>
      <c r="Y61" s="106"/>
      <c r="Z61" s="106"/>
      <c r="AA61" s="106"/>
      <c r="AB61" s="106"/>
      <c r="AC61" s="108"/>
      <c r="AD61" s="108"/>
      <c r="AE61" s="106"/>
      <c r="AF61" s="106"/>
      <c r="AG61" s="106"/>
      <c r="AH61" s="106"/>
      <c r="AI61" s="106"/>
    </row>
    <row r="62" spans="1:35">
      <c r="X62" s="106"/>
      <c r="Y62" s="106"/>
      <c r="Z62" s="106"/>
      <c r="AA62" s="106"/>
      <c r="AB62" s="106"/>
      <c r="AC62" s="108"/>
      <c r="AD62" s="108"/>
      <c r="AE62" s="106"/>
      <c r="AF62" s="106"/>
      <c r="AG62" s="106"/>
      <c r="AH62" s="106"/>
      <c r="AI62" s="106"/>
    </row>
    <row r="63" spans="1:35">
      <c r="X63" s="106"/>
      <c r="Y63" s="106"/>
      <c r="Z63" s="106"/>
      <c r="AA63" s="106"/>
      <c r="AB63" s="106"/>
      <c r="AC63" s="108"/>
      <c r="AD63" s="108"/>
      <c r="AE63" s="106"/>
      <c r="AF63" s="106"/>
      <c r="AG63" s="106"/>
      <c r="AH63" s="106"/>
      <c r="AI63" s="106"/>
    </row>
    <row r="64" spans="1:35">
      <c r="X64" s="106"/>
      <c r="Y64" s="106"/>
      <c r="Z64" s="106"/>
      <c r="AA64" s="106"/>
      <c r="AB64" s="106"/>
      <c r="AC64" s="108"/>
      <c r="AD64" s="108"/>
      <c r="AE64" s="106"/>
      <c r="AF64" s="106"/>
      <c r="AG64" s="106"/>
      <c r="AH64" s="106"/>
      <c r="AI64" s="106"/>
    </row>
    <row r="65" spans="9:35">
      <c r="X65" s="106"/>
      <c r="Y65" s="106"/>
      <c r="Z65" s="106"/>
      <c r="AA65" s="106"/>
      <c r="AB65" s="106"/>
      <c r="AC65" s="108"/>
      <c r="AD65" s="108"/>
      <c r="AE65" s="106"/>
      <c r="AF65" s="106"/>
      <c r="AG65" s="106"/>
      <c r="AH65" s="106"/>
      <c r="AI65" s="106"/>
    </row>
    <row r="66" spans="9:35">
      <c r="X66" s="106"/>
      <c r="Y66" s="106"/>
      <c r="Z66" s="106"/>
      <c r="AA66" s="106"/>
      <c r="AB66" s="106"/>
      <c r="AC66" s="108"/>
      <c r="AD66" s="108"/>
      <c r="AE66" s="106"/>
      <c r="AF66" s="106"/>
      <c r="AG66" s="106"/>
      <c r="AH66" s="106"/>
      <c r="AI66" s="106"/>
    </row>
    <row r="67" spans="9:35">
      <c r="X67" s="106"/>
      <c r="Y67" s="106"/>
      <c r="Z67" s="106"/>
      <c r="AA67" s="106"/>
      <c r="AB67" s="106"/>
      <c r="AC67" s="108"/>
      <c r="AD67" s="108"/>
      <c r="AE67" s="106"/>
      <c r="AF67" s="106"/>
      <c r="AG67" s="106"/>
      <c r="AH67" s="106"/>
      <c r="AI67" s="106"/>
    </row>
    <row r="68" spans="9:35">
      <c r="X68" s="106"/>
      <c r="Y68" s="106"/>
      <c r="Z68" s="106"/>
      <c r="AA68" s="106"/>
      <c r="AB68" s="106"/>
      <c r="AC68" s="108"/>
      <c r="AD68" s="108"/>
      <c r="AE68" s="106"/>
      <c r="AF68" s="106"/>
      <c r="AG68" s="106"/>
      <c r="AH68" s="106"/>
      <c r="AI68" s="106"/>
    </row>
    <row r="69" spans="9:35">
      <c r="I69" t="s">
        <v>215</v>
      </c>
      <c r="J69" t="s">
        <v>216</v>
      </c>
      <c r="K69" t="s">
        <v>217</v>
      </c>
      <c r="L69" t="s">
        <v>218</v>
      </c>
      <c r="X69" s="106"/>
      <c r="Y69" s="106"/>
      <c r="Z69" s="106"/>
      <c r="AA69" s="106"/>
      <c r="AB69" s="106"/>
      <c r="AC69" s="108"/>
      <c r="AD69" s="108"/>
      <c r="AE69" s="106"/>
      <c r="AF69" s="106"/>
      <c r="AG69" s="106"/>
      <c r="AH69" s="106"/>
      <c r="AI69" s="106"/>
    </row>
    <row r="70" spans="9:35">
      <c r="I70" t="s">
        <v>219</v>
      </c>
      <c r="J70" t="s">
        <v>220</v>
      </c>
      <c r="K70">
        <v>1</v>
      </c>
      <c r="L70">
        <v>1.31</v>
      </c>
      <c r="X70" s="106"/>
      <c r="Y70" s="106"/>
      <c r="Z70" s="106"/>
      <c r="AA70" s="106"/>
      <c r="AB70" s="106"/>
      <c r="AC70" s="108"/>
      <c r="AD70" s="108"/>
      <c r="AE70" s="106"/>
      <c r="AF70" s="106"/>
      <c r="AG70" s="106"/>
      <c r="AH70" s="106"/>
      <c r="AI70" s="106"/>
    </row>
    <row r="71" spans="9:35">
      <c r="I71" t="s">
        <v>219</v>
      </c>
      <c r="J71" t="s">
        <v>221</v>
      </c>
      <c r="K71">
        <v>1.31</v>
      </c>
      <c r="L71">
        <v>1.44</v>
      </c>
      <c r="X71" s="106"/>
      <c r="Y71" s="106"/>
      <c r="Z71" s="106"/>
      <c r="AA71" s="106"/>
      <c r="AB71" s="106"/>
      <c r="AC71" s="108"/>
      <c r="AD71" s="108"/>
      <c r="AE71" s="106"/>
      <c r="AF71" s="106"/>
      <c r="AG71" s="106"/>
      <c r="AH71" s="106"/>
      <c r="AI71" s="106"/>
    </row>
    <row r="72" spans="9:35">
      <c r="I72" t="s">
        <v>219</v>
      </c>
      <c r="J72" t="s">
        <v>222</v>
      </c>
      <c r="K72">
        <v>1.44</v>
      </c>
      <c r="L72">
        <v>1.59</v>
      </c>
      <c r="X72" s="106"/>
      <c r="Y72" s="106"/>
      <c r="Z72" s="106"/>
      <c r="AA72" s="106"/>
      <c r="AB72" s="106"/>
      <c r="AC72" s="108"/>
      <c r="AD72" s="108"/>
      <c r="AE72" s="106"/>
      <c r="AF72" s="106"/>
      <c r="AG72" s="106"/>
      <c r="AH72" s="106"/>
      <c r="AI72" s="106"/>
    </row>
    <row r="73" spans="9:35">
      <c r="I73" t="s">
        <v>219</v>
      </c>
      <c r="J73" t="s">
        <v>223</v>
      </c>
      <c r="K73">
        <v>1.59</v>
      </c>
      <c r="L73">
        <v>2.5</v>
      </c>
      <c r="X73" s="106"/>
      <c r="Y73" s="106"/>
      <c r="Z73" s="106"/>
      <c r="AA73" s="106"/>
      <c r="AB73" s="106"/>
      <c r="AC73" s="108"/>
      <c r="AD73" s="108"/>
      <c r="AE73" s="106"/>
      <c r="AF73" s="106"/>
      <c r="AG73" s="106"/>
      <c r="AH73" s="106"/>
      <c r="AI73" s="106"/>
    </row>
    <row r="74" spans="9:35">
      <c r="I74" t="s">
        <v>224</v>
      </c>
      <c r="J74" t="s">
        <v>220</v>
      </c>
      <c r="K74">
        <v>1</v>
      </c>
      <c r="L74">
        <v>1.44</v>
      </c>
      <c r="X74" s="106"/>
      <c r="Y74" s="106"/>
      <c r="Z74" s="106"/>
      <c r="AA74" s="106"/>
      <c r="AB74" s="106"/>
      <c r="AC74" s="108"/>
      <c r="AD74" s="108"/>
      <c r="AE74" s="106"/>
      <c r="AF74" s="106"/>
      <c r="AG74" s="106"/>
      <c r="AH74" s="106"/>
      <c r="AI74" s="106"/>
    </row>
    <row r="75" spans="9:35">
      <c r="I75" t="s">
        <v>224</v>
      </c>
      <c r="J75" t="s">
        <v>221</v>
      </c>
      <c r="K75">
        <v>1.44</v>
      </c>
      <c r="L75">
        <v>1.59</v>
      </c>
      <c r="X75" s="106"/>
      <c r="Y75" s="106"/>
      <c r="Z75" s="106"/>
      <c r="AA75" s="106"/>
      <c r="AB75" s="106"/>
      <c r="AC75" s="108"/>
      <c r="AD75" s="108"/>
      <c r="AE75" s="106"/>
      <c r="AF75" s="106"/>
      <c r="AG75" s="106"/>
      <c r="AH75" s="106"/>
      <c r="AI75" s="106"/>
    </row>
    <row r="76" spans="9:35">
      <c r="I76" t="s">
        <v>224</v>
      </c>
      <c r="J76" t="s">
        <v>222</v>
      </c>
      <c r="K76">
        <v>1.59</v>
      </c>
      <c r="L76">
        <v>1.77</v>
      </c>
      <c r="X76" s="106"/>
      <c r="Y76" s="106"/>
      <c r="Z76" s="106"/>
      <c r="AA76" s="106"/>
      <c r="AB76" s="106"/>
      <c r="AC76" s="108"/>
      <c r="AD76" s="108"/>
      <c r="AE76" s="106"/>
      <c r="AF76" s="106"/>
      <c r="AG76" s="106"/>
      <c r="AH76" s="106"/>
      <c r="AI76" s="106"/>
    </row>
    <row r="77" spans="9:35">
      <c r="I77" t="s">
        <v>224</v>
      </c>
      <c r="J77" t="s">
        <v>223</v>
      </c>
      <c r="K77">
        <v>1.77</v>
      </c>
      <c r="L77">
        <v>2.5</v>
      </c>
      <c r="X77" s="106"/>
      <c r="Y77" s="106"/>
      <c r="Z77" s="106"/>
      <c r="AA77" s="106"/>
      <c r="AB77" s="106"/>
      <c r="AC77" s="108"/>
      <c r="AD77" s="108"/>
      <c r="AE77" s="106"/>
      <c r="AF77" s="106"/>
      <c r="AG77" s="106"/>
      <c r="AH77" s="106"/>
      <c r="AI77" s="106"/>
    </row>
    <row r="78" spans="9:35">
      <c r="I78" t="s">
        <v>225</v>
      </c>
      <c r="J78" t="s">
        <v>220</v>
      </c>
      <c r="K78">
        <v>1</v>
      </c>
      <c r="L78">
        <v>1.56</v>
      </c>
      <c r="X78" s="106"/>
      <c r="Y78" s="106"/>
      <c r="Z78" s="106"/>
      <c r="AA78" s="106"/>
      <c r="AB78" s="106"/>
      <c r="AC78" s="108"/>
      <c r="AD78" s="108"/>
      <c r="AE78" s="106"/>
      <c r="AF78" s="106"/>
      <c r="AG78" s="106"/>
      <c r="AH78" s="106"/>
      <c r="AI78" s="106"/>
    </row>
    <row r="79" spans="9:35">
      <c r="I79" t="s">
        <v>225</v>
      </c>
      <c r="J79" t="s">
        <v>221</v>
      </c>
      <c r="K79">
        <v>1.56</v>
      </c>
      <c r="L79">
        <v>1.73</v>
      </c>
      <c r="X79" s="106"/>
      <c r="Y79" s="106"/>
      <c r="Z79" s="106"/>
      <c r="AA79" s="106"/>
      <c r="AB79" s="106"/>
      <c r="AC79" s="108"/>
      <c r="AD79" s="108"/>
      <c r="AE79" s="106"/>
      <c r="AF79" s="106"/>
      <c r="AG79" s="106"/>
      <c r="AH79" s="106"/>
      <c r="AI79" s="106"/>
    </row>
    <row r="80" spans="9:35">
      <c r="I80" t="s">
        <v>225</v>
      </c>
      <c r="J80" t="s">
        <v>222</v>
      </c>
      <c r="K80">
        <v>1.73</v>
      </c>
      <c r="L80">
        <v>1.92</v>
      </c>
      <c r="X80" s="106"/>
      <c r="Y80" s="106"/>
      <c r="Z80" s="106"/>
      <c r="AA80" s="106"/>
      <c r="AB80" s="106"/>
      <c r="AC80" s="108"/>
      <c r="AD80" s="108"/>
      <c r="AE80" s="106"/>
      <c r="AF80" s="106"/>
      <c r="AG80" s="106"/>
      <c r="AH80" s="106"/>
      <c r="AI80" s="106"/>
    </row>
    <row r="81" spans="9:35">
      <c r="I81" t="s">
        <v>225</v>
      </c>
      <c r="J81" t="s">
        <v>223</v>
      </c>
      <c r="K81">
        <v>1.92</v>
      </c>
      <c r="L81">
        <v>2.5</v>
      </c>
      <c r="X81" s="106"/>
      <c r="Y81" s="106"/>
      <c r="Z81" s="106"/>
      <c r="AA81" s="106"/>
      <c r="AB81" s="106"/>
      <c r="AC81" s="108"/>
      <c r="AD81" s="108"/>
      <c r="AE81" s="106"/>
      <c r="AF81" s="106"/>
      <c r="AG81" s="106"/>
      <c r="AH81" s="106"/>
      <c r="AI81" s="106"/>
    </row>
    <row r="82" spans="9:35">
      <c r="I82" t="s">
        <v>226</v>
      </c>
      <c r="J82" t="s">
        <v>220</v>
      </c>
      <c r="K82">
        <v>1</v>
      </c>
      <c r="L82">
        <v>1.53</v>
      </c>
      <c r="X82" s="106"/>
      <c r="Y82" s="106"/>
      <c r="Z82" s="106"/>
      <c r="AA82" s="106"/>
      <c r="AB82" s="106"/>
      <c r="AC82" s="108"/>
      <c r="AD82" s="108"/>
      <c r="AE82" s="106"/>
      <c r="AF82" s="106"/>
      <c r="AG82" s="106"/>
      <c r="AH82" s="106"/>
      <c r="AI82" s="106"/>
    </row>
    <row r="83" spans="9:35">
      <c r="I83" t="s">
        <v>226</v>
      </c>
      <c r="J83" t="s">
        <v>221</v>
      </c>
      <c r="K83">
        <v>1.53</v>
      </c>
      <c r="L83">
        <v>1.68</v>
      </c>
      <c r="X83" s="106"/>
      <c r="Y83" s="106"/>
      <c r="Z83" s="106"/>
      <c r="AA83" s="106"/>
      <c r="AB83" s="106"/>
      <c r="AC83" s="108"/>
      <c r="AD83" s="108"/>
      <c r="AE83" s="106"/>
      <c r="AF83" s="106"/>
      <c r="AG83" s="106"/>
      <c r="AH83" s="106"/>
      <c r="AI83" s="106"/>
    </row>
    <row r="84" spans="9:35">
      <c r="I84" t="s">
        <v>226</v>
      </c>
      <c r="J84" t="s">
        <v>222</v>
      </c>
      <c r="K84">
        <v>1.68</v>
      </c>
      <c r="L84">
        <v>1.85</v>
      </c>
      <c r="X84" s="106"/>
      <c r="Y84" s="106"/>
      <c r="Z84" s="106"/>
      <c r="AA84" s="106"/>
      <c r="AB84" s="106"/>
      <c r="AC84" s="108"/>
      <c r="AD84" s="108"/>
      <c r="AE84" s="106"/>
      <c r="AF84" s="106"/>
      <c r="AG84" s="106"/>
      <c r="AH84" s="106"/>
      <c r="AI84" s="106"/>
    </row>
    <row r="85" spans="9:35">
      <c r="I85" t="s">
        <v>226</v>
      </c>
      <c r="J85" t="s">
        <v>223</v>
      </c>
      <c r="K85">
        <v>1.85</v>
      </c>
      <c r="L85">
        <v>2.5</v>
      </c>
      <c r="X85" s="106"/>
      <c r="Y85" s="106"/>
      <c r="Z85" s="106"/>
      <c r="AA85" s="106"/>
      <c r="AB85" s="106"/>
      <c r="AC85" s="108"/>
      <c r="AD85" s="108"/>
      <c r="AE85" s="106"/>
      <c r="AF85" s="106"/>
      <c r="AG85" s="106"/>
      <c r="AH85" s="106"/>
      <c r="AI85" s="106"/>
    </row>
    <row r="86" spans="9:35">
      <c r="X86" s="106"/>
      <c r="Y86" s="106"/>
      <c r="Z86" s="106"/>
      <c r="AA86" s="106"/>
      <c r="AB86" s="106"/>
      <c r="AC86" s="108"/>
      <c r="AD86" s="108"/>
      <c r="AE86" s="106"/>
      <c r="AF86" s="106"/>
      <c r="AG86" s="106"/>
      <c r="AH86" s="106"/>
      <c r="AI86" s="106"/>
    </row>
    <row r="87" spans="9:35">
      <c r="X87" s="106"/>
      <c r="Y87" s="106"/>
      <c r="Z87" s="106"/>
      <c r="AA87" s="106"/>
      <c r="AB87" s="106"/>
      <c r="AC87" s="108"/>
      <c r="AD87" s="108"/>
      <c r="AE87" s="106"/>
      <c r="AF87" s="106"/>
      <c r="AG87" s="106"/>
      <c r="AH87" s="106"/>
      <c r="AI87" s="106"/>
    </row>
    <row r="88" spans="9:35">
      <c r="X88" s="106"/>
      <c r="Y88" s="106"/>
      <c r="Z88" s="106"/>
      <c r="AA88" s="106"/>
      <c r="AB88" s="106"/>
      <c r="AC88" s="108"/>
      <c r="AD88" s="108"/>
      <c r="AE88" s="106"/>
      <c r="AF88" s="106"/>
      <c r="AG88" s="106"/>
      <c r="AH88" s="106"/>
      <c r="AI88" s="106"/>
    </row>
    <row r="89" spans="9:35">
      <c r="X89" s="106"/>
      <c r="Y89" s="106"/>
      <c r="Z89" s="106"/>
      <c r="AA89" s="106"/>
      <c r="AB89" s="106"/>
      <c r="AC89" s="108"/>
      <c r="AD89" s="108"/>
      <c r="AE89" s="106"/>
      <c r="AF89" s="106"/>
      <c r="AG89" s="106"/>
      <c r="AH89" s="106"/>
      <c r="AI89" s="106"/>
    </row>
    <row r="90" spans="9:35">
      <c r="X90" s="106"/>
      <c r="Y90" s="106"/>
      <c r="Z90" s="106"/>
      <c r="AA90" s="106"/>
      <c r="AB90" s="106"/>
      <c r="AC90" s="108"/>
      <c r="AD90" s="108"/>
      <c r="AE90" s="106"/>
      <c r="AF90" s="106"/>
      <c r="AG90" s="106"/>
      <c r="AH90" s="106"/>
      <c r="AI90" s="106"/>
    </row>
    <row r="91" spans="9:35">
      <c r="X91" s="106"/>
      <c r="Y91" s="106"/>
      <c r="Z91" s="106"/>
      <c r="AA91" s="106"/>
      <c r="AB91" s="106"/>
      <c r="AC91" s="108"/>
      <c r="AD91" s="108"/>
      <c r="AE91" s="106"/>
      <c r="AF91" s="106"/>
      <c r="AG91" s="106"/>
      <c r="AH91" s="106"/>
      <c r="AI91" s="106"/>
    </row>
    <row r="92" spans="9:35">
      <c r="X92" s="106"/>
      <c r="Y92" s="106"/>
      <c r="Z92" s="106"/>
      <c r="AA92" s="106"/>
      <c r="AB92" s="106"/>
      <c r="AC92" s="108"/>
      <c r="AD92" s="108"/>
      <c r="AE92" s="106"/>
      <c r="AF92" s="106"/>
      <c r="AG92" s="106"/>
      <c r="AH92" s="106"/>
      <c r="AI92" s="106"/>
    </row>
    <row r="93" spans="9:35">
      <c r="X93" s="106"/>
      <c r="Y93" s="106"/>
      <c r="Z93" s="106"/>
      <c r="AA93" s="106"/>
      <c r="AB93" s="106"/>
      <c r="AC93" s="108"/>
      <c r="AD93" s="108"/>
      <c r="AE93" s="106"/>
      <c r="AF93" s="106"/>
      <c r="AG93" s="106"/>
      <c r="AH93" s="106"/>
      <c r="AI93" s="106"/>
    </row>
    <row r="94" spans="9:35">
      <c r="X94" s="106"/>
      <c r="Y94" s="106"/>
      <c r="Z94" s="106"/>
      <c r="AA94" s="106"/>
      <c r="AB94" s="106"/>
      <c r="AC94" s="108"/>
      <c r="AD94" s="108"/>
      <c r="AE94" s="106"/>
      <c r="AF94" s="106"/>
      <c r="AG94" s="106"/>
      <c r="AH94" s="106"/>
      <c r="AI94" s="106"/>
    </row>
    <row r="95" spans="9:35">
      <c r="X95" s="106"/>
      <c r="Y95" s="106"/>
      <c r="Z95" s="106"/>
      <c r="AA95" s="106"/>
      <c r="AB95" s="106"/>
      <c r="AC95" s="108"/>
      <c r="AD95" s="108"/>
      <c r="AE95" s="106"/>
      <c r="AF95" s="106"/>
      <c r="AG95" s="106"/>
      <c r="AH95" s="106"/>
      <c r="AI95" s="106"/>
    </row>
    <row r="96" spans="9:35">
      <c r="X96" s="106"/>
      <c r="Y96" s="106"/>
      <c r="Z96" s="106"/>
      <c r="AA96" s="106"/>
      <c r="AB96" s="106"/>
      <c r="AC96" s="108"/>
      <c r="AD96" s="108"/>
      <c r="AE96" s="106"/>
      <c r="AF96" s="106"/>
      <c r="AG96" s="106"/>
      <c r="AH96" s="106"/>
      <c r="AI96" s="106"/>
    </row>
    <row r="97" spans="24:35">
      <c r="X97" s="106"/>
      <c r="Y97" s="106"/>
      <c r="Z97" s="106"/>
      <c r="AA97" s="106"/>
      <c r="AB97" s="106"/>
      <c r="AC97" s="108"/>
      <c r="AD97" s="108"/>
      <c r="AE97" s="106"/>
      <c r="AF97" s="106"/>
      <c r="AG97" s="106"/>
      <c r="AH97" s="106"/>
      <c r="AI97" s="106"/>
    </row>
    <row r="98" spans="24:35">
      <c r="X98" s="106"/>
      <c r="Y98" s="106"/>
      <c r="Z98" s="106"/>
      <c r="AA98" s="106"/>
      <c r="AB98" s="106"/>
      <c r="AC98" s="108"/>
      <c r="AD98" s="108"/>
      <c r="AE98" s="106"/>
      <c r="AF98" s="106"/>
      <c r="AG98" s="106"/>
      <c r="AH98" s="106"/>
      <c r="AI98" s="106"/>
    </row>
    <row r="99" spans="24:35">
      <c r="X99" s="106"/>
      <c r="Y99" s="106"/>
      <c r="Z99" s="106"/>
      <c r="AA99" s="106"/>
      <c r="AB99" s="106"/>
      <c r="AC99" s="108"/>
      <c r="AD99" s="108"/>
      <c r="AE99" s="106"/>
      <c r="AF99" s="106"/>
      <c r="AG99" s="106"/>
      <c r="AH99" s="106"/>
      <c r="AI99" s="106"/>
    </row>
    <row r="100" spans="24:35">
      <c r="X100" s="106"/>
      <c r="Y100" s="106"/>
      <c r="Z100" s="106"/>
      <c r="AA100" s="106"/>
      <c r="AB100" s="106"/>
      <c r="AC100" s="108"/>
      <c r="AD100" s="108"/>
      <c r="AE100" s="106"/>
      <c r="AF100" s="106"/>
      <c r="AG100" s="106"/>
      <c r="AH100" s="106"/>
      <c r="AI100" s="106"/>
    </row>
    <row r="101" spans="24:35">
      <c r="X101" s="106"/>
      <c r="Y101" s="106"/>
      <c r="Z101" s="106"/>
      <c r="AA101" s="106"/>
      <c r="AB101" s="106"/>
      <c r="AC101" s="108"/>
      <c r="AD101" s="108"/>
      <c r="AE101" s="106"/>
      <c r="AF101" s="106"/>
      <c r="AG101" s="106"/>
      <c r="AH101" s="106"/>
      <c r="AI101" s="106"/>
    </row>
    <row r="102" spans="24:35">
      <c r="X102" s="106"/>
      <c r="Y102" s="106"/>
      <c r="Z102" s="106"/>
      <c r="AA102" s="106"/>
      <c r="AB102" s="106"/>
      <c r="AC102" s="108"/>
      <c r="AD102" s="108"/>
      <c r="AE102" s="106"/>
      <c r="AF102" s="106"/>
      <c r="AG102" s="106"/>
      <c r="AH102" s="106"/>
      <c r="AI102" s="106"/>
    </row>
    <row r="103" spans="24:35">
      <c r="X103" s="106"/>
      <c r="Y103" s="106"/>
      <c r="Z103" s="106"/>
      <c r="AA103" s="106"/>
      <c r="AB103" s="106"/>
      <c r="AC103" s="108"/>
      <c r="AD103" s="108"/>
      <c r="AE103" s="106"/>
      <c r="AF103" s="106"/>
      <c r="AG103" s="106"/>
      <c r="AH103" s="106"/>
      <c r="AI103" s="106"/>
    </row>
    <row r="104" spans="24:35">
      <c r="X104" s="106"/>
      <c r="Y104" s="106"/>
      <c r="Z104" s="106"/>
      <c r="AA104" s="106"/>
      <c r="AB104" s="106"/>
      <c r="AC104" s="108"/>
      <c r="AD104" s="108"/>
      <c r="AE104" s="106"/>
      <c r="AF104" s="106"/>
      <c r="AG104" s="106"/>
      <c r="AH104" s="106"/>
      <c r="AI104" s="106"/>
    </row>
    <row r="105" spans="24:35">
      <c r="X105" s="106"/>
      <c r="Y105" s="106"/>
      <c r="Z105" s="106"/>
      <c r="AA105" s="106"/>
      <c r="AB105" s="106"/>
      <c r="AC105" s="108"/>
      <c r="AD105" s="108"/>
      <c r="AE105" s="106"/>
      <c r="AF105" s="106"/>
      <c r="AG105" s="106"/>
      <c r="AH105" s="106"/>
      <c r="AI105" s="106"/>
    </row>
    <row r="106" spans="24:35">
      <c r="X106" s="106"/>
      <c r="Y106" s="106"/>
      <c r="Z106" s="106"/>
      <c r="AA106" s="106"/>
      <c r="AB106" s="106"/>
      <c r="AC106" s="108"/>
      <c r="AD106" s="108"/>
      <c r="AE106" s="106"/>
      <c r="AF106" s="106"/>
      <c r="AG106" s="106"/>
      <c r="AH106" s="106"/>
      <c r="AI106" s="106"/>
    </row>
    <row r="107" spans="24:35">
      <c r="X107" s="106"/>
      <c r="Y107" s="106"/>
      <c r="Z107" s="106"/>
      <c r="AA107" s="106"/>
      <c r="AB107" s="106"/>
      <c r="AC107" s="108"/>
      <c r="AD107" s="108"/>
      <c r="AE107" s="106"/>
      <c r="AF107" s="106"/>
      <c r="AG107" s="106"/>
      <c r="AH107" s="106"/>
      <c r="AI107" s="106"/>
    </row>
    <row r="108" spans="24:35">
      <c r="X108" s="106"/>
      <c r="Y108" s="106"/>
      <c r="Z108" s="106"/>
      <c r="AA108" s="106"/>
      <c r="AB108" s="106"/>
      <c r="AC108" s="108"/>
      <c r="AD108" s="108"/>
      <c r="AE108" s="106"/>
      <c r="AF108" s="106"/>
      <c r="AG108" s="106"/>
      <c r="AH108" s="106"/>
      <c r="AI108" s="106"/>
    </row>
    <row r="109" spans="24:35">
      <c r="X109" s="106"/>
      <c r="Y109" s="106"/>
      <c r="Z109" s="106"/>
      <c r="AA109" s="106"/>
      <c r="AB109" s="106"/>
      <c r="AC109" s="108"/>
      <c r="AD109" s="108"/>
      <c r="AE109" s="106"/>
      <c r="AF109" s="106"/>
      <c r="AG109" s="106"/>
      <c r="AH109" s="106"/>
      <c r="AI109" s="106"/>
    </row>
    <row r="110" spans="24:35">
      <c r="X110" s="106"/>
      <c r="Y110" s="106"/>
      <c r="Z110" s="106"/>
      <c r="AA110" s="106"/>
      <c r="AB110" s="106"/>
      <c r="AC110" s="108"/>
      <c r="AD110" s="108"/>
      <c r="AE110" s="106"/>
      <c r="AF110" s="106"/>
      <c r="AG110" s="106"/>
      <c r="AH110" s="106"/>
      <c r="AI110" s="106"/>
    </row>
    <row r="111" spans="24:35">
      <c r="X111" s="106"/>
      <c r="Y111" s="106"/>
      <c r="Z111" s="106"/>
      <c r="AA111" s="106"/>
      <c r="AB111" s="106"/>
      <c r="AC111" s="108"/>
      <c r="AD111" s="108"/>
      <c r="AE111" s="106"/>
      <c r="AF111" s="106"/>
      <c r="AG111" s="106"/>
      <c r="AH111" s="106"/>
      <c r="AI111" s="106"/>
    </row>
    <row r="112" spans="24:35">
      <c r="X112" s="106"/>
      <c r="Y112" s="106"/>
      <c r="Z112" s="106"/>
      <c r="AA112" s="106"/>
      <c r="AB112" s="106"/>
      <c r="AC112" s="108"/>
      <c r="AD112" s="108"/>
      <c r="AE112" s="106"/>
      <c r="AF112" s="106"/>
      <c r="AG112" s="106"/>
      <c r="AH112" s="106"/>
      <c r="AI112" s="106"/>
    </row>
    <row r="113" spans="24:35">
      <c r="X113" s="106"/>
      <c r="Y113" s="106"/>
      <c r="Z113" s="106"/>
      <c r="AA113" s="106"/>
      <c r="AB113" s="106"/>
      <c r="AC113" s="108"/>
      <c r="AD113" s="108"/>
      <c r="AE113" s="106"/>
      <c r="AF113" s="106"/>
      <c r="AG113" s="106"/>
      <c r="AH113" s="106"/>
      <c r="AI113" s="106"/>
    </row>
    <row r="114" spans="24:35">
      <c r="X114" s="106"/>
      <c r="Y114" s="106"/>
      <c r="Z114" s="106"/>
      <c r="AA114" s="106"/>
      <c r="AB114" s="106"/>
      <c r="AC114" s="108"/>
      <c r="AD114" s="108"/>
      <c r="AE114" s="106"/>
      <c r="AF114" s="106"/>
      <c r="AG114" s="106"/>
      <c r="AH114" s="106"/>
      <c r="AI114" s="106"/>
    </row>
    <row r="115" spans="24:35">
      <c r="X115" s="106"/>
      <c r="Y115" s="106"/>
      <c r="Z115" s="106"/>
      <c r="AA115" s="106"/>
      <c r="AB115" s="106"/>
      <c r="AC115" s="108"/>
      <c r="AD115" s="108"/>
      <c r="AE115" s="106"/>
      <c r="AF115" s="106"/>
      <c r="AG115" s="106"/>
      <c r="AH115" s="106"/>
      <c r="AI115" s="106"/>
    </row>
    <row r="116" spans="24:35">
      <c r="X116" s="106"/>
      <c r="Y116" s="106"/>
      <c r="Z116" s="106"/>
      <c r="AA116" s="106"/>
      <c r="AB116" s="106"/>
      <c r="AC116" s="108"/>
      <c r="AD116" s="108"/>
      <c r="AE116" s="106"/>
      <c r="AF116" s="106"/>
      <c r="AG116" s="106"/>
      <c r="AH116" s="106"/>
      <c r="AI116" s="106"/>
    </row>
    <row r="117" spans="24:35">
      <c r="X117" s="106"/>
      <c r="Y117" s="106"/>
      <c r="Z117" s="106"/>
      <c r="AA117" s="106"/>
      <c r="AB117" s="106"/>
      <c r="AC117" s="108"/>
      <c r="AD117" s="108"/>
      <c r="AE117" s="106"/>
      <c r="AF117" s="106"/>
      <c r="AG117" s="106"/>
      <c r="AH117" s="106"/>
      <c r="AI117" s="106"/>
    </row>
    <row r="118" spans="24:35">
      <c r="X118" s="106"/>
      <c r="Y118" s="106"/>
      <c r="Z118" s="106"/>
      <c r="AA118" s="106"/>
      <c r="AB118" s="106"/>
      <c r="AC118" s="108"/>
      <c r="AD118" s="108"/>
      <c r="AE118" s="106"/>
      <c r="AF118" s="106"/>
      <c r="AG118" s="106"/>
      <c r="AH118" s="106"/>
      <c r="AI118" s="106"/>
    </row>
    <row r="119" spans="24:35">
      <c r="X119" s="106"/>
      <c r="Y119" s="106"/>
      <c r="Z119" s="106"/>
      <c r="AA119" s="106"/>
      <c r="AB119" s="106"/>
      <c r="AC119" s="108"/>
      <c r="AD119" s="108"/>
      <c r="AE119" s="106"/>
      <c r="AF119" s="106"/>
      <c r="AG119" s="106"/>
      <c r="AH119" s="106"/>
      <c r="AI119" s="106"/>
    </row>
    <row r="120" spans="24:35">
      <c r="X120" s="106"/>
      <c r="Y120" s="106"/>
      <c r="Z120" s="106"/>
      <c r="AA120" s="106"/>
      <c r="AB120" s="106"/>
      <c r="AC120" s="108"/>
      <c r="AD120" s="108"/>
      <c r="AE120" s="106"/>
      <c r="AF120" s="106"/>
      <c r="AG120" s="106"/>
      <c r="AH120" s="106"/>
      <c r="AI120" s="106"/>
    </row>
    <row r="121" spans="24:35">
      <c r="X121" s="106"/>
      <c r="Y121" s="106"/>
      <c r="Z121" s="106"/>
      <c r="AA121" s="106"/>
      <c r="AB121" s="106"/>
      <c r="AC121" s="108"/>
      <c r="AD121" s="108"/>
      <c r="AE121" s="106"/>
      <c r="AF121" s="106"/>
      <c r="AG121" s="106"/>
      <c r="AH121" s="106"/>
      <c r="AI121" s="106"/>
    </row>
    <row r="122" spans="24:35">
      <c r="X122" s="106"/>
      <c r="Y122" s="106"/>
      <c r="Z122" s="106"/>
      <c r="AA122" s="106"/>
      <c r="AB122" s="106"/>
      <c r="AC122" s="108"/>
      <c r="AD122" s="108"/>
      <c r="AE122" s="106"/>
      <c r="AF122" s="106"/>
      <c r="AG122" s="106"/>
      <c r="AH122" s="106"/>
      <c r="AI122" s="106"/>
    </row>
    <row r="123" spans="24:35">
      <c r="X123" s="106"/>
      <c r="Y123" s="106"/>
      <c r="Z123" s="106"/>
      <c r="AA123" s="106"/>
      <c r="AB123" s="106"/>
      <c r="AC123" s="108"/>
      <c r="AD123" s="108"/>
      <c r="AE123" s="106"/>
      <c r="AF123" s="106"/>
      <c r="AG123" s="106"/>
      <c r="AH123" s="106"/>
      <c r="AI123" s="106"/>
    </row>
    <row r="124" spans="24:35">
      <c r="X124" s="108"/>
      <c r="Y124" s="106"/>
      <c r="Z124" s="106"/>
      <c r="AA124" s="106"/>
      <c r="AB124" s="106"/>
      <c r="AC124" s="111"/>
      <c r="AD124" s="108"/>
      <c r="AE124" s="106"/>
      <c r="AF124" s="106"/>
      <c r="AG124" s="106"/>
      <c r="AH124" s="106"/>
      <c r="AI124" s="106"/>
    </row>
    <row r="125" spans="24:35">
      <c r="X125" s="108"/>
      <c r="Y125" s="106"/>
      <c r="Z125" s="106"/>
      <c r="AA125" s="106"/>
      <c r="AB125" s="106"/>
      <c r="AC125" s="111"/>
      <c r="AD125" s="108"/>
      <c r="AE125" s="106"/>
      <c r="AF125" s="106"/>
      <c r="AG125" s="106"/>
      <c r="AH125" s="106"/>
      <c r="AI125" s="106"/>
    </row>
    <row r="126" spans="24:35">
      <c r="X126" s="108"/>
      <c r="Y126" s="106"/>
      <c r="Z126" s="106"/>
      <c r="AA126" s="106"/>
      <c r="AB126" s="106"/>
      <c r="AC126" s="111"/>
      <c r="AD126" s="108"/>
      <c r="AE126" s="106"/>
      <c r="AF126" s="106"/>
      <c r="AG126" s="106"/>
      <c r="AH126" s="106"/>
      <c r="AI126" s="106"/>
    </row>
    <row r="127" spans="24:35">
      <c r="Y127" s="106"/>
      <c r="Z127" s="106"/>
      <c r="AA127" s="106"/>
      <c r="AB127" s="106"/>
      <c r="AE127" s="106"/>
      <c r="AF127" s="106"/>
      <c r="AG127" s="106"/>
      <c r="AH127" s="106"/>
      <c r="AI127" s="106"/>
    </row>
    <row r="128" spans="24:35">
      <c r="Z128" s="106"/>
      <c r="AA128" s="106"/>
    </row>
    <row r="129" spans="26:27">
      <c r="Z129" s="106"/>
      <c r="AA129" s="106"/>
    </row>
    <row r="130" spans="26:27">
      <c r="Z130" s="106"/>
      <c r="AA130" s="106"/>
    </row>
    <row r="131" spans="26:27">
      <c r="Z131" s="106"/>
      <c r="AA131" s="106"/>
    </row>
  </sheetData>
  <sheetProtection algorithmName="SHA-512" hashValue="P3JsJ8D4j2opT4/z7pi2HvxFh9tjyD1PHxTekrnct3NmZEsiy+xeBAmpHz97LBkYgdYu966jS7Tia4RegSj0ZA==" saltValue="BRqDGUbD42Nf3UyHBzI2tA==" spinCount="100000" sheet="1" objects="1" scenarios="1" selectLockedCells="1"/>
  <protectedRanges>
    <protectedRange sqref="AA18:AA23" name="Range1"/>
  </protectedRanges>
  <mergeCells count="4">
    <mergeCell ref="Z2:AA2"/>
    <mergeCell ref="Z3:AA10"/>
    <mergeCell ref="Z11:AA11"/>
    <mergeCell ref="Z12:AA12"/>
  </mergeCells>
  <phoneticPr fontId="68" type="noConversion"/>
  <conditionalFormatting sqref="AB16:AB17">
    <cfRule type="notContainsBlanks" dxfId="8" priority="2">
      <formula>LEN(TRIM(AB16))&gt;0</formula>
    </cfRule>
  </conditionalFormatting>
  <conditionalFormatting sqref="AB19:AB20">
    <cfRule type="notContainsBlanks" dxfId="7" priority="1">
      <formula>LEN(TRIM(AB19))&gt;0</formula>
    </cfRule>
  </conditionalFormatting>
  <conditionalFormatting sqref="AB2:AC6 AC7 AB8:AC12 AB13:AB14">
    <cfRule type="notContainsBlanks" dxfId="6" priority="3">
      <formula>LEN(TRIM(AB2))&gt;0</formula>
    </cfRule>
  </conditionalFormatting>
  <dataValidations count="6">
    <dataValidation type="whole" allowBlank="1" showInputMessage="1" showErrorMessage="1" errorTitle="Erro" error="Semana gestacional invalida!" sqref="AA18" xr:uid="{8DB07DD1-AD36-4C57-B37A-1AEF8E07DCE6}">
      <formula1>0</formula1>
      <formula2>45</formula2>
    </dataValidation>
    <dataValidation type="whole" allowBlank="1" showInputMessage="1" showErrorMessage="1" errorTitle="Idade inválida" error="Estudos feitos com pacientes até _x000a_99,99 anos." promptTitle="Idade do paciente" sqref="AA20" xr:uid="{E505A1A7-5DCE-497A-A249-2E210E91C8ED}">
      <formula1>0</formula1>
      <formula2>99</formula2>
    </dataValidation>
    <dataValidation type="list" allowBlank="1" showInputMessage="1" showErrorMessage="1" errorTitle="Entrada inválida" promptTitle="Insira somente uma das opções" sqref="AA23" xr:uid="{6B8D4EFD-63CB-4ED1-9F56-A9893A789DE9}">
      <formula1>$I$4:$I$7</formula1>
    </dataValidation>
    <dataValidation type="whole" allowBlank="1" showInputMessage="1" showErrorMessage="1" errorTitle="Altura em centimetros" error="Insira a altura em centímetros" promptTitle="Altura em centimetros" sqref="AA22" xr:uid="{5798E374-F1AF-4EF6-B40B-3ACCA86E6566}">
      <formula1>3</formula1>
      <formula2>260</formula2>
    </dataValidation>
    <dataValidation type="decimal" allowBlank="1" showInputMessage="1" showErrorMessage="1" errorTitle="Peso em Quilogramas" error="Peso deve ser em Quilogramas" sqref="AA21" xr:uid="{05D1890E-D4B6-4C9A-9FA7-66B2586EDDD1}">
      <formula1>0</formula1>
      <formula2>250</formula2>
    </dataValidation>
    <dataValidation type="whole" allowBlank="1" showInputMessage="1" showErrorMessage="1" errorTitle="Erro" error="Semana gestacional invalida!" sqref="AA19" xr:uid="{667C6380-6260-2F4B-AFAB-7BB0B97E3F1E}">
      <formula1>0</formula1>
      <formula2>12</formula2>
    </dataValidation>
  </dataValidations>
  <pageMargins left="0.7" right="0.7" top="0.75" bottom="0.75" header="0.3" footer="0.3"/>
  <pageSetup paperSize="9" orientation="portrait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CF906-1D09-4A04-BDAD-EFA2E11CAA56}">
  <sheetPr codeName="Sheet1">
    <tabColor theme="0"/>
  </sheetPr>
  <dimension ref="A1:AD128"/>
  <sheetViews>
    <sheetView topLeftCell="U11" zoomScale="84" zoomScaleNormal="100" workbookViewId="0">
      <selection activeCell="V21" sqref="V21"/>
    </sheetView>
  </sheetViews>
  <sheetFormatPr defaultColWidth="9.109375" defaultRowHeight="14.4"/>
  <cols>
    <col min="1" max="1" width="31.77734375" hidden="1" customWidth="1"/>
    <col min="2" max="2" width="81" hidden="1" customWidth="1"/>
    <col min="3" max="3" width="66.109375" hidden="1" customWidth="1"/>
    <col min="4" max="4" width="60.44140625" hidden="1" customWidth="1"/>
    <col min="5" max="5" width="12.44140625" hidden="1" customWidth="1"/>
    <col min="6" max="7" width="8.6640625" hidden="1" customWidth="1"/>
    <col min="8" max="8" width="14.109375" hidden="1" customWidth="1"/>
    <col min="9" max="9" width="26.77734375" hidden="1" customWidth="1"/>
    <col min="10" max="12" width="11.44140625" hidden="1" customWidth="1"/>
    <col min="13" max="14" width="18" hidden="1" customWidth="1"/>
    <col min="15" max="16" width="11.44140625" hidden="1" customWidth="1"/>
    <col min="17" max="17" width="69.44140625" hidden="1" customWidth="1"/>
    <col min="18" max="18" width="72.33203125" hidden="1" customWidth="1"/>
    <col min="19" max="19" width="11.44140625"/>
    <col min="20" max="20" width="19.109375" bestFit="1" customWidth="1"/>
    <col min="21" max="21" width="37.77734375" bestFit="1" customWidth="1"/>
    <col min="22" max="22" width="136" customWidth="1"/>
    <col min="23" max="23" width="62.33203125" bestFit="1" customWidth="1"/>
    <col min="24" max="24" width="11.44140625" bestFit="1" customWidth="1"/>
  </cols>
  <sheetData>
    <row r="1" spans="1:30">
      <c r="S1" s="106"/>
      <c r="T1" s="106"/>
      <c r="U1" s="106"/>
      <c r="V1" s="106"/>
      <c r="W1" s="106"/>
      <c r="X1" s="109"/>
      <c r="Y1" s="108"/>
      <c r="Z1" s="106"/>
      <c r="AA1" s="106"/>
      <c r="AB1" s="106"/>
      <c r="AC1" s="106"/>
      <c r="AD1" s="106"/>
    </row>
    <row r="2" spans="1:30"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S2" s="106"/>
      <c r="T2" s="106"/>
      <c r="U2" s="223" t="s">
        <v>96</v>
      </c>
      <c r="V2" s="224"/>
      <c r="W2" s="106"/>
      <c r="X2" s="106"/>
      <c r="Y2" s="108"/>
      <c r="Z2" s="106"/>
      <c r="AA2" s="106"/>
      <c r="AB2" s="106"/>
      <c r="AC2" s="106"/>
      <c r="AD2" s="106"/>
    </row>
    <row r="3" spans="1:30" ht="15" customHeight="1">
      <c r="A3" s="97" t="s">
        <v>97</v>
      </c>
      <c r="B3" s="97" t="s">
        <v>98</v>
      </c>
      <c r="C3" s="97" t="s">
        <v>99</v>
      </c>
      <c r="D3" s="97" t="s">
        <v>100</v>
      </c>
      <c r="E3" s="97" t="s">
        <v>101</v>
      </c>
      <c r="F3" s="97" t="s">
        <v>102</v>
      </c>
      <c r="G3" s="97" t="s">
        <v>103</v>
      </c>
      <c r="H3" s="97" t="s">
        <v>104</v>
      </c>
      <c r="I3" s="97" t="s">
        <v>105</v>
      </c>
      <c r="J3" s="97" t="s">
        <v>106</v>
      </c>
      <c r="K3" s="97" t="s">
        <v>107</v>
      </c>
      <c r="L3" s="97" t="s">
        <v>108</v>
      </c>
      <c r="M3" s="97" t="s">
        <v>109</v>
      </c>
      <c r="N3" s="97" t="s">
        <v>110</v>
      </c>
      <c r="O3" s="97" t="s">
        <v>111</v>
      </c>
      <c r="P3" s="97" t="s">
        <v>112</v>
      </c>
      <c r="Q3" s="97" t="s">
        <v>113</v>
      </c>
      <c r="R3" s="97" t="s">
        <v>114</v>
      </c>
      <c r="S3" s="106"/>
      <c r="T3" s="106"/>
      <c r="U3" s="225" t="s">
        <v>115</v>
      </c>
      <c r="V3" s="226"/>
      <c r="W3" s="106"/>
      <c r="X3" s="106"/>
      <c r="Y3" s="108"/>
      <c r="Z3" s="106"/>
      <c r="AA3" s="106"/>
      <c r="AB3" s="106"/>
      <c r="AC3" s="106"/>
      <c r="AD3" s="106"/>
    </row>
    <row r="4" spans="1:30" ht="15" customHeight="1">
      <c r="A4" s="9" t="s">
        <v>116</v>
      </c>
      <c r="B4" s="9" t="str">
        <f>_xlfn.CONCAT("Sexo:",E4, "_Gestante:",F4, "_Idade:",G4,"_Atividade:",H4)</f>
        <v>Sexo:m_Gestante:n_Idade:19≤_Atividade:Inativo</v>
      </c>
      <c r="C4" s="99" t="s">
        <v>117</v>
      </c>
      <c r="D4" s="96" t="s">
        <v>118</v>
      </c>
      <c r="E4" s="105" t="s">
        <v>119</v>
      </c>
      <c r="F4" s="105" t="s">
        <v>120</v>
      </c>
      <c r="G4" s="105" t="s">
        <v>121</v>
      </c>
      <c r="H4" s="9" t="s">
        <v>122</v>
      </c>
      <c r="I4" s="9">
        <v>753.07</v>
      </c>
      <c r="J4" s="9">
        <v>-10.83</v>
      </c>
      <c r="K4" s="9">
        <v>6.5</v>
      </c>
      <c r="L4" s="98">
        <v>14.1</v>
      </c>
      <c r="M4" s="9">
        <v>0</v>
      </c>
      <c r="N4" s="9">
        <v>0</v>
      </c>
      <c r="O4" s="9">
        <v>339</v>
      </c>
      <c r="P4">
        <f t="shared" ref="P4:P31" si="0">I4+(J4*$V$18)+(K4*$V$20)+(L4*$V$19)</f>
        <v>2579.6400000000003</v>
      </c>
      <c r="Q4" s="9" t="str">
        <f>_xlfn.CONCAT(I4, IF(J4&lt;0, " - ", " + "), "(", IF(J4&lt;0,J4*-1,J4), "*idade)", IF(K4&lt;0, " - ", " + "), "(", IF(K4&lt;0,K4*-1,K4), "*altura)", IF(L4&lt;0, " - ", " + "), "(", IF(L4&lt;0,L4*-1,L4), "*peso)", )</f>
        <v>753,07 - (10,83*idade) + (6,5*altura) + (14,1*peso)</v>
      </c>
      <c r="R4" s="99" t="s">
        <v>123</v>
      </c>
      <c r="S4" s="106"/>
      <c r="T4" s="106"/>
      <c r="U4" s="227"/>
      <c r="V4" s="228"/>
      <c r="W4" s="106"/>
      <c r="X4" s="106"/>
      <c r="Y4" s="108"/>
      <c r="Z4" s="106"/>
      <c r="AA4" s="106"/>
      <c r="AB4" s="106"/>
      <c r="AC4" s="106"/>
      <c r="AD4" s="106"/>
    </row>
    <row r="5" spans="1:30" ht="15" customHeight="1">
      <c r="A5" s="9" t="s">
        <v>116</v>
      </c>
      <c r="B5" s="9" t="str">
        <f t="shared" ref="B5:B31" si="1">_xlfn.CONCAT("Sexo:",E5, "_Gestante:",F5, "_Idade:",G5,"_Atividade:",H5)</f>
        <v>Sexo:m_Gestante:n_Idade:19≤_Atividade:Pouco ativo</v>
      </c>
      <c r="C5" s="99" t="s">
        <v>124</v>
      </c>
      <c r="D5" s="96" t="s">
        <v>118</v>
      </c>
      <c r="E5" s="105" t="s">
        <v>119</v>
      </c>
      <c r="F5" s="105" t="s">
        <v>120</v>
      </c>
      <c r="G5" s="105" t="s">
        <v>121</v>
      </c>
      <c r="H5" s="9" t="s">
        <v>125</v>
      </c>
      <c r="I5" s="9">
        <v>581.47</v>
      </c>
      <c r="J5" s="9">
        <v>-10.83</v>
      </c>
      <c r="K5" s="9">
        <v>8.3000000000000007</v>
      </c>
      <c r="L5" s="9">
        <v>14.94</v>
      </c>
      <c r="M5" s="9">
        <v>0</v>
      </c>
      <c r="N5" s="9">
        <v>0</v>
      </c>
      <c r="O5" s="9">
        <v>339</v>
      </c>
      <c r="P5">
        <f t="shared" si="0"/>
        <v>2777.6400000000003</v>
      </c>
      <c r="Q5" s="9" t="str">
        <f t="shared" ref="Q5:Q31" si="2">_xlfn.CONCAT(I5, IF(J5&lt;0, " - ", " + "), "(", IF(J5&lt;0,J5*-1,J5), "*idade)", IF(K5&lt;0, " - ", " + "), "(", IF(K5&lt;0,K5*-1,K5), "*altura)", IF(L5&lt;0, " - ", " + "), "(", IF(L5&lt;0,L5*-1,L5), "*peso)", )</f>
        <v>581,47 - (10,83*idade) + (8,3*altura) + (14,94*peso)</v>
      </c>
      <c r="R5" s="99" t="s">
        <v>126</v>
      </c>
      <c r="S5" s="106"/>
      <c r="T5" s="106"/>
      <c r="U5" s="227"/>
      <c r="V5" s="228"/>
      <c r="W5" s="106"/>
      <c r="X5" s="106"/>
      <c r="Y5" s="108"/>
      <c r="Z5" s="106"/>
      <c r="AA5" s="106"/>
      <c r="AB5" s="106"/>
      <c r="AC5" s="106"/>
      <c r="AD5" s="106"/>
    </row>
    <row r="6" spans="1:30" ht="15" customHeight="1">
      <c r="A6" s="9" t="s">
        <v>116</v>
      </c>
      <c r="B6" s="9" t="str">
        <f t="shared" si="1"/>
        <v>Sexo:m_Gestante:n_Idade:19≤_Atividade:Ativo</v>
      </c>
      <c r="C6" s="99" t="s">
        <v>127</v>
      </c>
      <c r="D6" s="96" t="s">
        <v>118</v>
      </c>
      <c r="E6" s="105" t="s">
        <v>119</v>
      </c>
      <c r="F6" s="105" t="s">
        <v>120</v>
      </c>
      <c r="G6" s="105" t="s">
        <v>121</v>
      </c>
      <c r="H6" s="9" t="s">
        <v>37</v>
      </c>
      <c r="I6" s="9">
        <v>1004.82</v>
      </c>
      <c r="J6" s="9">
        <v>-10.83</v>
      </c>
      <c r="K6" s="9">
        <v>6.52</v>
      </c>
      <c r="L6" s="9">
        <v>15.91</v>
      </c>
      <c r="M6" s="9">
        <v>0</v>
      </c>
      <c r="N6" s="9">
        <v>0</v>
      </c>
      <c r="O6" s="9">
        <v>339</v>
      </c>
      <c r="P6">
        <f t="shared" si="0"/>
        <v>2952.54</v>
      </c>
      <c r="Q6" s="9" t="str">
        <f t="shared" si="2"/>
        <v>1004,82 - (10,83*idade) + (6,52*altura) + (15,91*peso)</v>
      </c>
      <c r="R6" s="99" t="s">
        <v>128</v>
      </c>
      <c r="S6" s="106"/>
      <c r="T6" s="106"/>
      <c r="U6" s="227"/>
      <c r="V6" s="228"/>
      <c r="W6" s="106"/>
      <c r="X6" s="106"/>
      <c r="Y6" s="108"/>
      <c r="Z6" s="106"/>
      <c r="AA6" s="106"/>
      <c r="AB6" s="106"/>
      <c r="AC6" s="106"/>
      <c r="AD6" s="106"/>
    </row>
    <row r="7" spans="1:30" ht="15" customHeight="1">
      <c r="A7" s="9" t="s">
        <v>116</v>
      </c>
      <c r="B7" s="9" t="str">
        <f t="shared" si="1"/>
        <v>Sexo:m_Gestante:n_Idade:19≤_Atividade:Muito ativo</v>
      </c>
      <c r="C7" s="99" t="s">
        <v>129</v>
      </c>
      <c r="D7" s="96" t="s">
        <v>118</v>
      </c>
      <c r="E7" s="105" t="s">
        <v>119</v>
      </c>
      <c r="F7" s="105" t="s">
        <v>120</v>
      </c>
      <c r="G7" s="105" t="s">
        <v>121</v>
      </c>
      <c r="H7" s="9" t="s">
        <v>130</v>
      </c>
      <c r="I7" s="9">
        <v>-517.88</v>
      </c>
      <c r="J7" s="9">
        <v>-10.83</v>
      </c>
      <c r="K7" s="9">
        <v>15.61</v>
      </c>
      <c r="L7" s="9">
        <v>19.11</v>
      </c>
      <c r="M7" s="9">
        <v>0</v>
      </c>
      <c r="N7" s="9">
        <v>0</v>
      </c>
      <c r="O7" s="9">
        <v>339</v>
      </c>
      <c r="P7">
        <f t="shared" si="0"/>
        <v>3228.59</v>
      </c>
      <c r="Q7" s="9" t="str">
        <f t="shared" si="2"/>
        <v>-517,88 - (10,83*idade) + (15,61*altura) + (19,11*peso)</v>
      </c>
      <c r="R7" s="99" t="s">
        <v>131</v>
      </c>
      <c r="S7" s="106"/>
      <c r="T7" s="106"/>
      <c r="U7" s="227"/>
      <c r="V7" s="228"/>
      <c r="X7" s="106"/>
      <c r="Y7" s="108"/>
      <c r="Z7" s="106"/>
      <c r="AA7" s="106"/>
      <c r="AB7" s="106"/>
      <c r="AC7" s="106"/>
      <c r="AD7" s="106"/>
    </row>
    <row r="8" spans="1:30" ht="15" customHeight="1">
      <c r="A8" s="9" t="s">
        <v>116</v>
      </c>
      <c r="B8" s="9" t="str">
        <f t="shared" si="1"/>
        <v>Sexo:f_Gestante:n_Idade:19≤_Atividade:Inativo</v>
      </c>
      <c r="C8" s="99" t="s">
        <v>132</v>
      </c>
      <c r="D8" s="96" t="s">
        <v>133</v>
      </c>
      <c r="E8" s="105" t="s">
        <v>134</v>
      </c>
      <c r="F8" s="105" t="s">
        <v>120</v>
      </c>
      <c r="G8" s="105" t="s">
        <v>121</v>
      </c>
      <c r="H8" s="9" t="s">
        <v>122</v>
      </c>
      <c r="I8" s="9">
        <v>584.9</v>
      </c>
      <c r="J8" s="9">
        <v>-7.01</v>
      </c>
      <c r="K8" s="9">
        <v>5.72</v>
      </c>
      <c r="L8" s="9">
        <v>11.71</v>
      </c>
      <c r="M8" s="9">
        <v>0</v>
      </c>
      <c r="N8" s="9">
        <v>0</v>
      </c>
      <c r="O8" s="9">
        <v>246</v>
      </c>
      <c r="P8">
        <f t="shared" si="0"/>
        <v>2199.84</v>
      </c>
      <c r="Q8" s="9" t="str">
        <f t="shared" si="2"/>
        <v>584,9 - (7,01*idade) + (5,72*altura) + (11,71*peso)</v>
      </c>
      <c r="R8" s="99" t="s">
        <v>135</v>
      </c>
      <c r="S8" s="106"/>
      <c r="T8" s="106"/>
      <c r="U8" s="227"/>
      <c r="V8" s="228"/>
      <c r="W8" s="106"/>
      <c r="X8" s="106"/>
      <c r="Y8" s="108"/>
      <c r="Z8" s="106"/>
      <c r="AA8" s="106"/>
      <c r="AB8" s="106"/>
      <c r="AC8" s="106"/>
      <c r="AD8" s="106"/>
    </row>
    <row r="9" spans="1:30" ht="15" customHeight="1">
      <c r="A9" s="9" t="s">
        <v>116</v>
      </c>
      <c r="B9" s="9" t="str">
        <f t="shared" si="1"/>
        <v>Sexo:f_Gestante:n_Idade:19≤_Atividade:Pouco ativo</v>
      </c>
      <c r="C9" s="99" t="s">
        <v>136</v>
      </c>
      <c r="D9" s="96" t="s">
        <v>133</v>
      </c>
      <c r="E9" s="105" t="s">
        <v>134</v>
      </c>
      <c r="F9" s="105" t="s">
        <v>120</v>
      </c>
      <c r="G9" s="105" t="s">
        <v>121</v>
      </c>
      <c r="H9" s="9" t="s">
        <v>125</v>
      </c>
      <c r="I9" s="9">
        <v>575.77</v>
      </c>
      <c r="J9" s="9">
        <v>-7.01</v>
      </c>
      <c r="K9" s="9">
        <v>6.6</v>
      </c>
      <c r="L9" s="9">
        <v>12.14</v>
      </c>
      <c r="M9" s="9">
        <v>0</v>
      </c>
      <c r="N9" s="9">
        <v>0</v>
      </c>
      <c r="O9" s="9">
        <v>246</v>
      </c>
      <c r="P9">
        <f t="shared" si="0"/>
        <v>2372.66</v>
      </c>
      <c r="Q9" s="9" t="str">
        <f t="shared" si="2"/>
        <v>575,77 - (7,01*idade) + (6,6*altura) + (12,14*peso)</v>
      </c>
      <c r="R9" s="99" t="s">
        <v>137</v>
      </c>
      <c r="S9" s="106"/>
      <c r="T9" s="106"/>
      <c r="U9" s="227"/>
      <c r="V9" s="228"/>
      <c r="W9" s="106"/>
      <c r="X9" s="106"/>
      <c r="Y9" s="108"/>
      <c r="Z9" s="106"/>
      <c r="AA9" s="106"/>
      <c r="AB9" s="106"/>
      <c r="AC9" s="106"/>
      <c r="AD9" s="106"/>
    </row>
    <row r="10" spans="1:30" ht="12.75" customHeight="1">
      <c r="A10" s="9" t="s">
        <v>116</v>
      </c>
      <c r="B10" s="9" t="str">
        <f t="shared" si="1"/>
        <v>Sexo:f_Gestante:n_Idade:19≤_Atividade:Ativo</v>
      </c>
      <c r="C10" s="99" t="s">
        <v>138</v>
      </c>
      <c r="D10" s="96" t="s">
        <v>133</v>
      </c>
      <c r="E10" s="105" t="s">
        <v>134</v>
      </c>
      <c r="F10" s="105" t="s">
        <v>120</v>
      </c>
      <c r="G10" s="105" t="s">
        <v>121</v>
      </c>
      <c r="H10" s="9" t="s">
        <v>37</v>
      </c>
      <c r="I10" s="9">
        <v>710.25</v>
      </c>
      <c r="J10" s="9">
        <v>-7.01</v>
      </c>
      <c r="K10" s="9">
        <v>6.54</v>
      </c>
      <c r="L10" s="9">
        <v>12.34</v>
      </c>
      <c r="M10" s="9">
        <v>0</v>
      </c>
      <c r="N10" s="9">
        <v>0</v>
      </c>
      <c r="O10" s="9">
        <v>246</v>
      </c>
      <c r="P10">
        <f t="shared" si="0"/>
        <v>2509.64</v>
      </c>
      <c r="Q10" s="9" t="str">
        <f t="shared" si="2"/>
        <v>710,25 - (7,01*idade) + (6,54*altura) + (12,34*peso)</v>
      </c>
      <c r="R10" s="99" t="s">
        <v>139</v>
      </c>
      <c r="S10" s="106"/>
      <c r="T10" s="106"/>
      <c r="U10" s="229"/>
      <c r="V10" s="230"/>
      <c r="W10" s="106"/>
      <c r="X10" s="106"/>
      <c r="Y10" s="108"/>
      <c r="Z10" s="106"/>
      <c r="AA10" s="106"/>
      <c r="AB10" s="106"/>
      <c r="AC10" s="106"/>
      <c r="AD10" s="106"/>
    </row>
    <row r="11" spans="1:30" ht="36.6">
      <c r="A11" s="9" t="s">
        <v>116</v>
      </c>
      <c r="B11" s="9" t="str">
        <f t="shared" si="1"/>
        <v>Sexo:f_Gestante:n_Idade:19≤_Atividade:Muito ativo</v>
      </c>
      <c r="C11" s="99" t="s">
        <v>140</v>
      </c>
      <c r="D11" s="96" t="s">
        <v>133</v>
      </c>
      <c r="E11" s="105" t="s">
        <v>134</v>
      </c>
      <c r="F11" s="105" t="s">
        <v>120</v>
      </c>
      <c r="G11" s="105" t="s">
        <v>121</v>
      </c>
      <c r="H11" s="9" t="s">
        <v>130</v>
      </c>
      <c r="I11" s="9">
        <v>511.83</v>
      </c>
      <c r="J11" s="9">
        <v>-7.01</v>
      </c>
      <c r="K11" s="9">
        <v>9.07</v>
      </c>
      <c r="L11" s="9">
        <v>12.56</v>
      </c>
      <c r="M11" s="9">
        <v>0</v>
      </c>
      <c r="N11" s="9">
        <v>0</v>
      </c>
      <c r="O11" s="9">
        <v>246</v>
      </c>
      <c r="P11">
        <f t="shared" si="0"/>
        <v>2768.27</v>
      </c>
      <c r="Q11" s="9" t="str">
        <f t="shared" si="2"/>
        <v>511,83 - (7,01*idade) + (9,07*altura) + (12,56*peso)</v>
      </c>
      <c r="R11" s="99" t="s">
        <v>141</v>
      </c>
      <c r="S11" s="106"/>
      <c r="T11" s="106"/>
      <c r="U11" s="231" t="s">
        <v>142</v>
      </c>
      <c r="V11" s="232"/>
      <c r="W11" s="106"/>
      <c r="X11" s="106"/>
      <c r="Y11" s="108"/>
      <c r="Z11" s="106"/>
      <c r="AA11" s="106"/>
      <c r="AB11" s="106"/>
      <c r="AC11" s="106"/>
      <c r="AD11" s="106"/>
    </row>
    <row r="12" spans="1:30">
      <c r="A12" s="9" t="s">
        <v>116</v>
      </c>
      <c r="B12" s="9" t="str">
        <f t="shared" si="1"/>
        <v>Sexo:m_Gestante:n_Idade:3a18_Atividade:Inativo</v>
      </c>
      <c r="C12" s="99" t="s">
        <v>143</v>
      </c>
      <c r="D12" s="96" t="s">
        <v>144</v>
      </c>
      <c r="E12" s="105" t="s">
        <v>119</v>
      </c>
      <c r="F12" s="105" t="s">
        <v>120</v>
      </c>
      <c r="G12" s="105" t="s">
        <v>145</v>
      </c>
      <c r="H12" s="9" t="s">
        <v>122</v>
      </c>
      <c r="I12" s="9">
        <v>-447.51</v>
      </c>
      <c r="J12" s="9">
        <v>3.68</v>
      </c>
      <c r="K12" s="9">
        <v>13.01</v>
      </c>
      <c r="L12" s="9">
        <v>13.15</v>
      </c>
      <c r="M12" s="9">
        <v>0</v>
      </c>
      <c r="N12" s="9">
        <v>0</v>
      </c>
      <c r="O12" s="9">
        <v>259</v>
      </c>
      <c r="P12">
        <f t="shared" si="0"/>
        <v>2761.27</v>
      </c>
      <c r="Q12" s="9" t="str">
        <f t="shared" si="2"/>
        <v>-447,51 + (3,68*idade) + (13,01*altura) + (13,15*peso)</v>
      </c>
      <c r="R12" s="99" t="s">
        <v>146</v>
      </c>
      <c r="S12" s="110"/>
      <c r="T12" s="106"/>
      <c r="U12" s="233" t="s">
        <v>147</v>
      </c>
      <c r="V12" s="233"/>
      <c r="W12" s="106"/>
      <c r="X12" s="106"/>
      <c r="Y12" s="108"/>
      <c r="Z12" s="106"/>
      <c r="AA12" s="106"/>
      <c r="AB12" s="106"/>
      <c r="AC12" s="106"/>
      <c r="AD12" s="106"/>
    </row>
    <row r="13" spans="1:30">
      <c r="A13" s="9" t="s">
        <v>116</v>
      </c>
      <c r="B13" s="9" t="str">
        <f t="shared" si="1"/>
        <v>Sexo:m_Gestante:n_Idade:3a18_Atividade:Pouco ativo</v>
      </c>
      <c r="C13" s="99" t="s">
        <v>148</v>
      </c>
      <c r="D13" s="96" t="s">
        <v>144</v>
      </c>
      <c r="E13" s="105" t="s">
        <v>119</v>
      </c>
      <c r="F13" s="105" t="s">
        <v>120</v>
      </c>
      <c r="G13" s="105" t="s">
        <v>145</v>
      </c>
      <c r="H13" s="9" t="s">
        <v>125</v>
      </c>
      <c r="I13" s="9">
        <v>19.12</v>
      </c>
      <c r="J13" s="9">
        <v>3.68</v>
      </c>
      <c r="K13" s="9">
        <v>8.6199999999999992</v>
      </c>
      <c r="L13" s="9">
        <v>20.28</v>
      </c>
      <c r="M13" s="9">
        <v>0</v>
      </c>
      <c r="N13" s="9">
        <v>0</v>
      </c>
      <c r="O13" s="9">
        <v>259</v>
      </c>
      <c r="P13">
        <f t="shared" si="0"/>
        <v>2923.1</v>
      </c>
      <c r="Q13" s="9" t="str">
        <f t="shared" si="2"/>
        <v>19,12 + (3,68*idade) + (8,62*altura) + (20,28*peso)</v>
      </c>
      <c r="R13" s="99" t="s">
        <v>149</v>
      </c>
      <c r="S13" s="106"/>
      <c r="T13" s="106"/>
      <c r="U13" s="106"/>
      <c r="V13" s="106"/>
      <c r="W13" s="106"/>
      <c r="X13" s="109"/>
      <c r="Y13" s="108"/>
      <c r="Z13" s="106"/>
      <c r="AA13" s="106"/>
      <c r="AB13" s="106"/>
      <c r="AC13" s="106"/>
      <c r="AD13" s="106"/>
    </row>
    <row r="14" spans="1:30" ht="21">
      <c r="A14" s="9" t="s">
        <v>116</v>
      </c>
      <c r="B14" s="9" t="str">
        <f t="shared" si="1"/>
        <v>Sexo:m_Gestante:n_Idade:3a18_Atividade:Ativo</v>
      </c>
      <c r="C14" s="99" t="s">
        <v>150</v>
      </c>
      <c r="D14" s="96" t="s">
        <v>144</v>
      </c>
      <c r="E14" s="105" t="s">
        <v>119</v>
      </c>
      <c r="F14" s="105" t="s">
        <v>120</v>
      </c>
      <c r="G14" s="105" t="s">
        <v>145</v>
      </c>
      <c r="H14" s="9" t="s">
        <v>37</v>
      </c>
      <c r="I14" s="9">
        <v>-388.19</v>
      </c>
      <c r="J14" s="9">
        <v>3.68</v>
      </c>
      <c r="K14" s="9">
        <v>12.66</v>
      </c>
      <c r="L14" s="9">
        <v>20.46</v>
      </c>
      <c r="M14" s="9">
        <v>0</v>
      </c>
      <c r="N14" s="9">
        <v>0</v>
      </c>
      <c r="O14" s="9">
        <v>259</v>
      </c>
      <c r="P14">
        <f t="shared" si="0"/>
        <v>3234.4900000000002</v>
      </c>
      <c r="Q14" s="9" t="str">
        <f t="shared" si="2"/>
        <v>-388,19 + (3,68*idade) + (12,66*altura) + (20,46*peso)</v>
      </c>
      <c r="R14" s="99" t="s">
        <v>151</v>
      </c>
      <c r="S14" s="106"/>
      <c r="T14" s="106"/>
      <c r="U14" s="118" t="s">
        <v>152</v>
      </c>
      <c r="V14" s="163" t="s">
        <v>153</v>
      </c>
      <c r="W14" s="106"/>
      <c r="X14" s="109"/>
      <c r="Y14" s="108"/>
      <c r="Z14" s="106"/>
      <c r="AA14" s="106"/>
      <c r="AB14" s="106"/>
      <c r="AC14" s="106"/>
      <c r="AD14" s="106"/>
    </row>
    <row r="15" spans="1:30" ht="21">
      <c r="A15" s="9" t="s">
        <v>116</v>
      </c>
      <c r="B15" s="9" t="str">
        <f t="shared" si="1"/>
        <v>Sexo:m_Gestante:n_Idade:3a18_Atividade:Muito ativo</v>
      </c>
      <c r="C15" s="99" t="s">
        <v>154</v>
      </c>
      <c r="D15" s="96" t="s">
        <v>144</v>
      </c>
      <c r="E15" s="105" t="s">
        <v>119</v>
      </c>
      <c r="F15" s="105" t="s">
        <v>120</v>
      </c>
      <c r="G15" s="105" t="s">
        <v>145</v>
      </c>
      <c r="H15" s="9" t="s">
        <v>130</v>
      </c>
      <c r="I15" s="9">
        <v>-671.75</v>
      </c>
      <c r="J15" s="9">
        <v>3.68</v>
      </c>
      <c r="K15" s="9">
        <v>15.38</v>
      </c>
      <c r="L15" s="9">
        <v>23.25</v>
      </c>
      <c r="M15" s="9">
        <v>0</v>
      </c>
      <c r="N15" s="9">
        <v>0</v>
      </c>
      <c r="O15" s="9">
        <v>259</v>
      </c>
      <c r="P15">
        <f t="shared" si="0"/>
        <v>3608.2799999999997</v>
      </c>
      <c r="Q15" s="9" t="str">
        <f t="shared" si="2"/>
        <v>-671,75 + (3,68*idade) + (15,38*altura) + (23,25*peso)</v>
      </c>
      <c r="R15" s="99" t="s">
        <v>155</v>
      </c>
      <c r="S15" s="106"/>
      <c r="T15" s="106"/>
      <c r="U15" s="118" t="s">
        <v>156</v>
      </c>
      <c r="V15" s="164" t="s">
        <v>157</v>
      </c>
      <c r="W15" s="107"/>
      <c r="X15" s="109"/>
      <c r="Y15" s="108"/>
      <c r="Z15" s="106"/>
      <c r="AA15" s="106"/>
      <c r="AB15" s="106"/>
      <c r="AC15" s="106"/>
      <c r="AD15" s="106"/>
    </row>
    <row r="16" spans="1:30">
      <c r="A16" s="9" t="s">
        <v>116</v>
      </c>
      <c r="B16" s="9" t="str">
        <f t="shared" si="1"/>
        <v>Sexo:f_Gestante:n_Idade:3a18_Atividade:Inativo</v>
      </c>
      <c r="C16" s="99" t="s">
        <v>158</v>
      </c>
      <c r="D16" s="96" t="s">
        <v>159</v>
      </c>
      <c r="E16" s="105" t="s">
        <v>134</v>
      </c>
      <c r="F16" s="105" t="s">
        <v>120</v>
      </c>
      <c r="G16" s="105" t="s">
        <v>145</v>
      </c>
      <c r="H16" s="9" t="s">
        <v>122</v>
      </c>
      <c r="I16" s="9">
        <v>55.59</v>
      </c>
      <c r="J16" s="9">
        <v>-22.25</v>
      </c>
      <c r="K16" s="9">
        <v>8.43</v>
      </c>
      <c r="L16" s="9">
        <v>17.07</v>
      </c>
      <c r="M16" s="9">
        <v>0</v>
      </c>
      <c r="N16" s="9">
        <v>0</v>
      </c>
      <c r="O16" s="9">
        <v>237</v>
      </c>
      <c r="P16">
        <f t="shared" si="0"/>
        <v>2173.1400000000003</v>
      </c>
      <c r="Q16" s="9" t="str">
        <f t="shared" si="2"/>
        <v>55,59 - (22,25*idade) + (8,43*altura) + (17,07*peso)</v>
      </c>
      <c r="R16" s="99" t="s">
        <v>160</v>
      </c>
      <c r="S16" s="106"/>
      <c r="T16" s="106"/>
      <c r="U16" s="106"/>
      <c r="V16" s="106"/>
      <c r="W16" s="106"/>
      <c r="X16" s="109"/>
      <c r="Y16" s="108"/>
      <c r="Z16" s="106"/>
      <c r="AA16" s="106"/>
      <c r="AB16" s="106"/>
      <c r="AC16" s="106"/>
      <c r="AD16" s="106"/>
    </row>
    <row r="17" spans="1:30" ht="21">
      <c r="A17" s="9" t="s">
        <v>116</v>
      </c>
      <c r="B17" s="9" t="str">
        <f t="shared" si="1"/>
        <v>Sexo:f_Gestante:n_Idade:3a18_Atividade:Pouco ativo</v>
      </c>
      <c r="C17" s="99" t="s">
        <v>161</v>
      </c>
      <c r="D17" s="96" t="s">
        <v>159</v>
      </c>
      <c r="E17" s="105" t="s">
        <v>134</v>
      </c>
      <c r="F17" s="105" t="s">
        <v>120</v>
      </c>
      <c r="G17" s="105" t="s">
        <v>145</v>
      </c>
      <c r="H17" s="9" t="s">
        <v>125</v>
      </c>
      <c r="I17" s="9">
        <v>-297.54000000000002</v>
      </c>
      <c r="J17" s="9">
        <v>-22.25</v>
      </c>
      <c r="K17" s="9">
        <v>12.77</v>
      </c>
      <c r="L17" s="9">
        <v>14.73</v>
      </c>
      <c r="M17" s="9">
        <v>0</v>
      </c>
      <c r="N17" s="9">
        <v>0</v>
      </c>
      <c r="O17" s="9">
        <v>237</v>
      </c>
      <c r="P17">
        <f t="shared" si="0"/>
        <v>2427.41</v>
      </c>
      <c r="Q17" s="9" t="str">
        <f t="shared" si="2"/>
        <v>-297,54 - (22,25*idade) + (12,77*altura) + (14,73*peso)</v>
      </c>
      <c r="R17" s="99" t="s">
        <v>162</v>
      </c>
      <c r="S17" s="106"/>
      <c r="T17" s="106"/>
      <c r="U17" s="118" t="s">
        <v>163</v>
      </c>
      <c r="V17" s="126">
        <v>15</v>
      </c>
      <c r="W17" s="106"/>
      <c r="X17" s="109"/>
      <c r="Y17" s="108"/>
      <c r="Z17" s="106"/>
      <c r="AA17" s="106"/>
      <c r="AB17" s="106"/>
      <c r="AC17" s="106"/>
      <c r="AD17" s="106"/>
    </row>
    <row r="18" spans="1:30" ht="21">
      <c r="A18" s="9" t="s">
        <v>116</v>
      </c>
      <c r="B18" s="9" t="str">
        <f t="shared" si="1"/>
        <v>Sexo:f_Gestante:n_Idade:3a18_Atividade:Ativo</v>
      </c>
      <c r="C18" s="99" t="s">
        <v>164</v>
      </c>
      <c r="D18" s="96" t="s">
        <v>159</v>
      </c>
      <c r="E18" s="105" t="s">
        <v>134</v>
      </c>
      <c r="F18" s="105" t="s">
        <v>120</v>
      </c>
      <c r="G18" s="105" t="s">
        <v>145</v>
      </c>
      <c r="H18" s="9" t="s">
        <v>37</v>
      </c>
      <c r="I18" s="9">
        <v>-189.55</v>
      </c>
      <c r="J18" s="9">
        <v>-22.25</v>
      </c>
      <c r="K18" s="9">
        <v>11.74</v>
      </c>
      <c r="L18" s="9">
        <v>18.34</v>
      </c>
      <c r="M18" s="9">
        <v>0</v>
      </c>
      <c r="N18" s="9">
        <v>0</v>
      </c>
      <c r="O18" s="9">
        <v>237</v>
      </c>
      <c r="P18">
        <f t="shared" si="0"/>
        <v>2589.8000000000002</v>
      </c>
      <c r="Q18" s="9" t="str">
        <f t="shared" si="2"/>
        <v>-189,55 - (22,25*idade) + (11,74*altura) + (18,34*peso)</v>
      </c>
      <c r="R18" s="99" t="s">
        <v>165</v>
      </c>
      <c r="S18" s="106"/>
      <c r="T18" s="106"/>
      <c r="U18" s="118" t="s">
        <v>5</v>
      </c>
      <c r="V18" s="126">
        <v>21</v>
      </c>
      <c r="W18" s="106"/>
      <c r="X18" s="109"/>
      <c r="Y18" s="108"/>
      <c r="Z18" s="106"/>
      <c r="AA18" s="106"/>
      <c r="AB18" s="106"/>
      <c r="AC18" s="106"/>
      <c r="AD18" s="106"/>
    </row>
    <row r="19" spans="1:30" ht="21">
      <c r="A19" s="9" t="s">
        <v>116</v>
      </c>
      <c r="B19" s="9" t="str">
        <f t="shared" si="1"/>
        <v>Sexo:f_Gestante:n_Idade:3a18_Atividade:Muito ativo</v>
      </c>
      <c r="C19" s="99" t="s">
        <v>166</v>
      </c>
      <c r="D19" s="96" t="s">
        <v>159</v>
      </c>
      <c r="E19" s="105" t="s">
        <v>134</v>
      </c>
      <c r="F19" s="105" t="s">
        <v>120</v>
      </c>
      <c r="G19" s="105" t="s">
        <v>145</v>
      </c>
      <c r="H19" s="9" t="s">
        <v>130</v>
      </c>
      <c r="I19" s="9">
        <v>-709.59</v>
      </c>
      <c r="J19" s="9">
        <v>-22.25</v>
      </c>
      <c r="K19" s="9">
        <v>18.22</v>
      </c>
      <c r="L19" s="9">
        <v>14.25</v>
      </c>
      <c r="M19" s="9">
        <v>0</v>
      </c>
      <c r="N19" s="9">
        <v>0</v>
      </c>
      <c r="O19" s="9">
        <v>237</v>
      </c>
      <c r="P19">
        <f t="shared" si="0"/>
        <v>2937.91</v>
      </c>
      <c r="Q19" s="9" t="str">
        <f t="shared" si="2"/>
        <v>-709,59 - (22,25*idade) + (18,22*altura) + (14,25*peso)</v>
      </c>
      <c r="R19" s="99" t="s">
        <v>167</v>
      </c>
      <c r="S19" s="106"/>
      <c r="T19" s="106"/>
      <c r="U19" s="118" t="s">
        <v>168</v>
      </c>
      <c r="V19" s="126">
        <v>65</v>
      </c>
      <c r="W19" s="106"/>
      <c r="X19" s="106"/>
      <c r="Y19" s="108"/>
      <c r="Z19" s="106"/>
      <c r="AA19" s="106"/>
      <c r="AB19" s="106"/>
      <c r="AC19" s="106"/>
      <c r="AD19" s="106"/>
    </row>
    <row r="20" spans="1:30" ht="21">
      <c r="A20" s="9" t="s">
        <v>116</v>
      </c>
      <c r="B20" s="9" t="str">
        <f t="shared" si="1"/>
        <v>Sexo:m_Gestante:n_Idade:0a2_Atividade:Inativo</v>
      </c>
      <c r="C20" s="99" t="s">
        <v>169</v>
      </c>
      <c r="D20" s="96" t="s">
        <v>170</v>
      </c>
      <c r="E20" s="105" t="s">
        <v>119</v>
      </c>
      <c r="F20" s="105" t="s">
        <v>120</v>
      </c>
      <c r="G20" s="105" t="s">
        <v>171</v>
      </c>
      <c r="H20" s="9" t="s">
        <v>122</v>
      </c>
      <c r="I20" s="9">
        <v>-716.45</v>
      </c>
      <c r="J20" s="9">
        <v>-1</v>
      </c>
      <c r="K20" s="9">
        <v>17.82</v>
      </c>
      <c r="L20" s="9">
        <v>15.06</v>
      </c>
      <c r="M20" s="9">
        <v>0</v>
      </c>
      <c r="N20" s="9">
        <v>0</v>
      </c>
      <c r="O20" s="9">
        <v>104</v>
      </c>
      <c r="P20">
        <f t="shared" si="0"/>
        <v>3359.9500000000003</v>
      </c>
      <c r="Q20" s="9" t="str">
        <f t="shared" si="2"/>
        <v>-716,45 - (1*idade) + (17,82*altura) + (15,06*peso)</v>
      </c>
      <c r="R20" s="99" t="s">
        <v>172</v>
      </c>
      <c r="S20" s="106"/>
      <c r="T20" s="106"/>
      <c r="U20" s="118" t="s">
        <v>173</v>
      </c>
      <c r="V20" s="126">
        <v>175</v>
      </c>
      <c r="W20" s="106"/>
      <c r="X20" s="106"/>
      <c r="Y20" s="108"/>
      <c r="Z20" s="106"/>
      <c r="AA20" s="106"/>
      <c r="AB20" s="106"/>
      <c r="AC20" s="106"/>
      <c r="AD20" s="106"/>
    </row>
    <row r="21" spans="1:30" ht="21">
      <c r="A21" s="9" t="s">
        <v>116</v>
      </c>
      <c r="B21" s="9" t="str">
        <f t="shared" si="1"/>
        <v>Sexo:m_Gestante:n_Idade:0a2_Atividade:Pouco ativo</v>
      </c>
      <c r="C21" s="99" t="s">
        <v>174</v>
      </c>
      <c r="D21" s="96" t="s">
        <v>170</v>
      </c>
      <c r="E21" s="105" t="s">
        <v>119</v>
      </c>
      <c r="F21" s="105" t="s">
        <v>120</v>
      </c>
      <c r="G21" s="105" t="s">
        <v>171</v>
      </c>
      <c r="H21" s="9" t="s">
        <v>125</v>
      </c>
      <c r="I21" s="9">
        <v>-716.45</v>
      </c>
      <c r="J21" s="9">
        <v>-1</v>
      </c>
      <c r="K21" s="9">
        <v>17.82</v>
      </c>
      <c r="L21" s="9">
        <v>15.06</v>
      </c>
      <c r="M21" s="9">
        <v>0</v>
      </c>
      <c r="N21" s="9">
        <v>0</v>
      </c>
      <c r="O21" s="9">
        <v>104</v>
      </c>
      <c r="P21">
        <f t="shared" si="0"/>
        <v>3359.9500000000003</v>
      </c>
      <c r="Q21" s="9" t="str">
        <f t="shared" si="2"/>
        <v>-716,45 - (1*idade) + (17,82*altura) + (15,06*peso)</v>
      </c>
      <c r="R21" s="99" t="s">
        <v>172</v>
      </c>
      <c r="S21" s="106"/>
      <c r="T21" s="106"/>
      <c r="U21" s="118" t="s">
        <v>175</v>
      </c>
      <c r="V21" s="126" t="s">
        <v>125</v>
      </c>
      <c r="W21" s="106"/>
      <c r="X21" s="106"/>
      <c r="Y21" s="108"/>
      <c r="Z21" s="106"/>
      <c r="AA21" s="106"/>
      <c r="AB21" s="106"/>
      <c r="AC21" s="106"/>
      <c r="AD21" s="106"/>
    </row>
    <row r="22" spans="1:30">
      <c r="A22" s="9" t="s">
        <v>116</v>
      </c>
      <c r="B22" s="9" t="str">
        <f t="shared" si="1"/>
        <v>Sexo:m_Gestante:n_Idade:0a2_Atividade:Ativo</v>
      </c>
      <c r="C22" s="99" t="s">
        <v>176</v>
      </c>
      <c r="D22" s="96" t="s">
        <v>170</v>
      </c>
      <c r="E22" s="105" t="s">
        <v>119</v>
      </c>
      <c r="F22" s="105" t="s">
        <v>120</v>
      </c>
      <c r="G22" s="105" t="s">
        <v>171</v>
      </c>
      <c r="H22" s="9" t="s">
        <v>37</v>
      </c>
      <c r="I22" s="9">
        <v>-716.45</v>
      </c>
      <c r="J22" s="9">
        <v>-1</v>
      </c>
      <c r="K22" s="9">
        <v>17.82</v>
      </c>
      <c r="L22" s="9">
        <v>15.06</v>
      </c>
      <c r="M22" s="9">
        <v>0</v>
      </c>
      <c r="N22" s="9">
        <v>0</v>
      </c>
      <c r="O22" s="9">
        <v>104</v>
      </c>
      <c r="P22">
        <f t="shared" si="0"/>
        <v>3359.9500000000003</v>
      </c>
      <c r="Q22" s="9" t="str">
        <f t="shared" si="2"/>
        <v>-716,45 - (1*idade) + (17,82*altura) + (15,06*peso)</v>
      </c>
      <c r="R22" s="99" t="s">
        <v>172</v>
      </c>
      <c r="S22" s="106"/>
      <c r="T22" s="106"/>
      <c r="U22" s="106"/>
      <c r="V22" s="106"/>
      <c r="W22" s="106"/>
      <c r="X22" s="106"/>
      <c r="Y22" s="108"/>
      <c r="Z22" s="106"/>
      <c r="AA22" s="106"/>
      <c r="AB22" s="106"/>
      <c r="AC22" s="106"/>
      <c r="AD22" s="106"/>
    </row>
    <row r="23" spans="1:30" ht="21">
      <c r="A23" s="9" t="s">
        <v>116</v>
      </c>
      <c r="B23" s="9" t="str">
        <f t="shared" si="1"/>
        <v>Sexo:m_Gestante:n_Idade:0a2_Atividade:Muito ativo</v>
      </c>
      <c r="C23" s="99" t="s">
        <v>177</v>
      </c>
      <c r="D23" s="96" t="s">
        <v>170</v>
      </c>
      <c r="E23" s="105" t="s">
        <v>119</v>
      </c>
      <c r="F23" s="105" t="s">
        <v>120</v>
      </c>
      <c r="G23" s="105" t="s">
        <v>171</v>
      </c>
      <c r="H23" s="9" t="s">
        <v>130</v>
      </c>
      <c r="I23" s="9">
        <v>-716.45</v>
      </c>
      <c r="J23" s="9">
        <v>-1</v>
      </c>
      <c r="K23" s="9">
        <v>17.82</v>
      </c>
      <c r="L23" s="9">
        <v>15.06</v>
      </c>
      <c r="M23" s="9">
        <v>0</v>
      </c>
      <c r="N23" s="9">
        <v>0</v>
      </c>
      <c r="O23" s="9">
        <v>104</v>
      </c>
      <c r="P23">
        <f t="shared" si="0"/>
        <v>3359.9500000000003</v>
      </c>
      <c r="Q23" s="9" t="str">
        <f t="shared" si="2"/>
        <v>-716,45 - (1*idade) + (17,82*altura) + (15,06*peso)</v>
      </c>
      <c r="R23" s="99" t="s">
        <v>172</v>
      </c>
      <c r="S23" s="106"/>
      <c r="T23" s="106"/>
      <c r="U23" s="120" t="s">
        <v>178</v>
      </c>
      <c r="V23" s="121" t="str" cm="1">
        <f t="array" ref="V23">IF(ISNUMBER($V$18),_xlfn.SWITCH(TRUE, 19&lt;=$V$18,"19≤",    3&lt;=$V$18, "3a18",     0&lt;=$V$18, "0a2"),"Insira um número válido na idade")</f>
        <v>19≤</v>
      </c>
      <c r="W23" s="107"/>
      <c r="X23" s="106"/>
      <c r="Y23" s="108"/>
      <c r="Z23" s="106"/>
      <c r="AA23" s="106"/>
      <c r="AB23" s="106"/>
      <c r="AC23" s="106"/>
      <c r="AD23" s="106"/>
    </row>
    <row r="24" spans="1:30" ht="21">
      <c r="A24" s="9" t="s">
        <v>116</v>
      </c>
      <c r="B24" s="9" t="str">
        <f t="shared" si="1"/>
        <v>Sexo:f_Gestante:n_Idade:0a2_Atividade:Inativo</v>
      </c>
      <c r="C24" s="99" t="s">
        <v>179</v>
      </c>
      <c r="D24" s="96" t="s">
        <v>180</v>
      </c>
      <c r="E24" s="105" t="s">
        <v>134</v>
      </c>
      <c r="F24" s="105" t="s">
        <v>120</v>
      </c>
      <c r="G24" s="105" t="s">
        <v>171</v>
      </c>
      <c r="H24" s="9" t="s">
        <v>122</v>
      </c>
      <c r="I24" s="9">
        <v>-69.150000000000006</v>
      </c>
      <c r="J24" s="9">
        <v>80</v>
      </c>
      <c r="K24" s="9">
        <v>2.65</v>
      </c>
      <c r="L24" s="9">
        <v>54.15</v>
      </c>
      <c r="M24" s="9">
        <v>0</v>
      </c>
      <c r="N24" s="9">
        <v>0</v>
      </c>
      <c r="O24" s="9">
        <v>95</v>
      </c>
      <c r="P24">
        <f t="shared" si="0"/>
        <v>5594.35</v>
      </c>
      <c r="Q24" s="9" t="str">
        <f t="shared" si="2"/>
        <v>-69,15 + (80*idade) + (2,65*altura) + (54,15*peso)</v>
      </c>
      <c r="R24" s="99" t="s">
        <v>181</v>
      </c>
      <c r="S24" s="106"/>
      <c r="T24" s="106"/>
      <c r="U24" s="120" t="s">
        <v>182</v>
      </c>
      <c r="V24" s="122">
        <f>IFERROR($V$19/POWER($V$20/100,2), "ERRO GRAVE NO IMC")</f>
        <v>21.224489795918366</v>
      </c>
      <c r="W24" s="107"/>
      <c r="X24" s="106"/>
      <c r="Y24" s="108"/>
      <c r="Z24" s="106"/>
      <c r="AA24" s="106"/>
      <c r="AB24" s="106"/>
      <c r="AC24" s="106"/>
      <c r="AD24" s="106"/>
    </row>
    <row r="25" spans="1:30">
      <c r="A25" s="9" t="s">
        <v>116</v>
      </c>
      <c r="B25" s="9" t="str">
        <f t="shared" si="1"/>
        <v>Sexo:f_Gestante:n_Idade:0a2_Atividade:Pouco ativo</v>
      </c>
      <c r="C25" s="99" t="s">
        <v>183</v>
      </c>
      <c r="D25" s="96" t="s">
        <v>180</v>
      </c>
      <c r="E25" s="105" t="s">
        <v>134</v>
      </c>
      <c r="F25" s="105" t="s">
        <v>120</v>
      </c>
      <c r="G25" s="105" t="s">
        <v>171</v>
      </c>
      <c r="H25" s="9" t="s">
        <v>125</v>
      </c>
      <c r="I25" s="9">
        <v>-69.150000000000006</v>
      </c>
      <c r="J25" s="9">
        <v>80</v>
      </c>
      <c r="K25" s="9">
        <v>2.65</v>
      </c>
      <c r="L25" s="9">
        <v>54.15</v>
      </c>
      <c r="M25" s="9">
        <v>0</v>
      </c>
      <c r="N25" s="9">
        <v>0</v>
      </c>
      <c r="O25" s="9">
        <v>95</v>
      </c>
      <c r="P25">
        <f t="shared" si="0"/>
        <v>5594.35</v>
      </c>
      <c r="Q25" s="9" t="str">
        <f t="shared" si="2"/>
        <v>-69,15 + (80*idade) + (2,65*altura) + (54,15*peso)</v>
      </c>
      <c r="R25" s="99" t="s">
        <v>181</v>
      </c>
      <c r="S25" s="106"/>
      <c r="T25" s="106"/>
      <c r="U25" s="106"/>
      <c r="V25" s="106"/>
      <c r="W25" s="106"/>
      <c r="X25" s="106"/>
      <c r="Y25" s="108"/>
      <c r="Z25" s="106"/>
      <c r="AA25" s="106"/>
      <c r="AB25" s="106"/>
      <c r="AC25" s="106"/>
      <c r="AD25" s="106"/>
    </row>
    <row r="26" spans="1:30" ht="21">
      <c r="A26" s="9" t="s">
        <v>116</v>
      </c>
      <c r="B26" s="9" t="str">
        <f t="shared" si="1"/>
        <v>Sexo:f_Gestante:n_Idade:0a2_Atividade:Ativo</v>
      </c>
      <c r="C26" s="99" t="s">
        <v>184</v>
      </c>
      <c r="D26" s="96" t="s">
        <v>180</v>
      </c>
      <c r="E26" s="105" t="s">
        <v>134</v>
      </c>
      <c r="F26" s="105" t="s">
        <v>120</v>
      </c>
      <c r="G26" s="105" t="s">
        <v>171</v>
      </c>
      <c r="H26" s="9" t="s">
        <v>37</v>
      </c>
      <c r="I26" s="9">
        <v>-69.150000000000006</v>
      </c>
      <c r="J26" s="9">
        <v>80</v>
      </c>
      <c r="K26" s="9">
        <v>2.65</v>
      </c>
      <c r="L26" s="9">
        <v>54.15</v>
      </c>
      <c r="M26" s="9">
        <v>0</v>
      </c>
      <c r="N26" s="9">
        <v>0</v>
      </c>
      <c r="O26" s="9">
        <v>95</v>
      </c>
      <c r="P26">
        <f t="shared" si="0"/>
        <v>5594.35</v>
      </c>
      <c r="Q26" s="9" t="str">
        <f t="shared" si="2"/>
        <v>-69,15 + (80*idade) + (2,65*altura) + (54,15*peso)</v>
      </c>
      <c r="R26" s="99" t="s">
        <v>181</v>
      </c>
      <c r="S26" s="106"/>
      <c r="T26" s="106"/>
      <c r="U26" s="118" t="s">
        <v>185</v>
      </c>
      <c r="V26" s="112" t="str">
        <f>IF($V$17/12 &lt;=2, "1", "2ou3")</f>
        <v>1</v>
      </c>
      <c r="W26" s="107"/>
      <c r="X26" s="106"/>
      <c r="Y26" s="108"/>
      <c r="Z26" s="106"/>
      <c r="AA26" s="106"/>
      <c r="AB26" s="106"/>
      <c r="AC26" s="106"/>
      <c r="AD26" s="106"/>
    </row>
    <row r="27" spans="1:30" ht="21">
      <c r="A27" s="9" t="s">
        <v>116</v>
      </c>
      <c r="B27" s="9" t="str">
        <f t="shared" si="1"/>
        <v>Sexo:f_Gestante:n_Idade:0a2_Atividade:Muito ativo</v>
      </c>
      <c r="C27" s="99" t="s">
        <v>186</v>
      </c>
      <c r="D27" s="96" t="s">
        <v>180</v>
      </c>
      <c r="E27" s="105" t="s">
        <v>134</v>
      </c>
      <c r="F27" s="105" t="s">
        <v>120</v>
      </c>
      <c r="G27" s="105" t="s">
        <v>171</v>
      </c>
      <c r="H27" s="9" t="s">
        <v>130</v>
      </c>
      <c r="I27" s="9">
        <v>-69.150000000000006</v>
      </c>
      <c r="J27" s="9">
        <v>80</v>
      </c>
      <c r="K27" s="9">
        <v>2.65</v>
      </c>
      <c r="L27" s="9">
        <v>54.15</v>
      </c>
      <c r="M27" s="9">
        <v>0</v>
      </c>
      <c r="N27" s="9">
        <v>0</v>
      </c>
      <c r="O27" s="9">
        <v>95</v>
      </c>
      <c r="P27">
        <f t="shared" si="0"/>
        <v>5594.35</v>
      </c>
      <c r="Q27" s="9" t="str">
        <f t="shared" si="2"/>
        <v>-69,15 + (80*idade) + (2,65*altura) + (54,15*peso)</v>
      </c>
      <c r="R27" s="99" t="s">
        <v>181</v>
      </c>
      <c r="S27" s="106"/>
      <c r="T27" s="106"/>
      <c r="U27" s="118" t="s">
        <v>187</v>
      </c>
      <c r="V27" s="112" t="str" cm="1">
        <f t="array" ref="V27">_xlfn.SWITCH(TRUE, 40&lt;=$V$24, "SOB", 30&lt;=$V$24, "OB", 25&lt;=$V$24, "OW",  18.5&lt;=$V$24, "NW", 0&lt;=$V$24, "UW")</f>
        <v>NW</v>
      </c>
      <c r="W27" s="106"/>
      <c r="X27" s="106"/>
      <c r="Y27" s="108"/>
      <c r="Z27" s="106"/>
      <c r="AA27" s="106"/>
      <c r="AB27" s="106"/>
      <c r="AC27" s="106"/>
      <c r="AD27" s="106"/>
    </row>
    <row r="28" spans="1:30" ht="21">
      <c r="A28" s="100" t="s">
        <v>116</v>
      </c>
      <c r="B28" s="9" t="str">
        <f t="shared" si="1"/>
        <v>Sexo:f_Gestante:s_Idade:any_Atividade:Inativo</v>
      </c>
      <c r="C28" s="99"/>
      <c r="D28" s="101" t="s">
        <v>188</v>
      </c>
      <c r="E28" s="100" t="s">
        <v>134</v>
      </c>
      <c r="F28" s="100" t="s">
        <v>189</v>
      </c>
      <c r="G28" s="100" t="s">
        <v>190</v>
      </c>
      <c r="H28" s="9" t="s">
        <v>122</v>
      </c>
      <c r="I28" s="100">
        <v>1131.2</v>
      </c>
      <c r="J28" s="100">
        <v>-2.04</v>
      </c>
      <c r="K28" s="100">
        <v>0.34</v>
      </c>
      <c r="L28" s="100">
        <v>12.15</v>
      </c>
      <c r="M28" s="100">
        <v>0</v>
      </c>
      <c r="N28" s="9">
        <v>0</v>
      </c>
      <c r="O28" s="100">
        <v>282</v>
      </c>
      <c r="P28" s="102">
        <f t="shared" si="0"/>
        <v>1937.6100000000001</v>
      </c>
      <c r="Q28" s="100" t="str">
        <f t="shared" si="2"/>
        <v>1131,2 - (2,04*idade) + (0,34*altura) + (12,15*peso)</v>
      </c>
      <c r="R28" s="103" t="s">
        <v>191</v>
      </c>
      <c r="S28" s="106"/>
      <c r="T28" s="106"/>
      <c r="U28" s="118" t="s">
        <v>192</v>
      </c>
      <c r="V28" s="112" cm="1">
        <f t="array" ref="V28">_xlfn.SWITCH($V$27,"uw",300,"nw",200,"ow",150,"ob",-50,"SOB","Sem dados")</f>
        <v>200</v>
      </c>
      <c r="W28" s="106"/>
      <c r="X28" s="106"/>
      <c r="Y28" s="108"/>
      <c r="Z28" s="106"/>
      <c r="AA28" s="106"/>
      <c r="AB28" s="106"/>
      <c r="AC28" s="106"/>
      <c r="AD28" s="106"/>
    </row>
    <row r="29" spans="1:30" hidden="1">
      <c r="A29" s="100" t="s">
        <v>116</v>
      </c>
      <c r="B29" s="9" t="str">
        <f t="shared" si="1"/>
        <v>Sexo:f_Gestante:s_Idade:any_Atividade:Pouco ativo</v>
      </c>
      <c r="C29" s="99"/>
      <c r="D29" s="101" t="s">
        <v>188</v>
      </c>
      <c r="E29" s="100" t="s">
        <v>134</v>
      </c>
      <c r="F29" s="100" t="s">
        <v>189</v>
      </c>
      <c r="G29" s="100" t="s">
        <v>190</v>
      </c>
      <c r="H29" s="9" t="s">
        <v>125</v>
      </c>
      <c r="I29" s="100">
        <v>693.35</v>
      </c>
      <c r="J29" s="100">
        <v>-2.04</v>
      </c>
      <c r="K29" s="100">
        <v>5.73</v>
      </c>
      <c r="L29" s="104">
        <v>10.199999999999999</v>
      </c>
      <c r="M29" s="100">
        <v>0</v>
      </c>
      <c r="N29" s="9">
        <v>0</v>
      </c>
      <c r="O29" s="100">
        <v>282</v>
      </c>
      <c r="P29" s="102">
        <f t="shared" si="0"/>
        <v>2316.2600000000002</v>
      </c>
      <c r="Q29" s="100" t="str">
        <f t="shared" si="2"/>
        <v>693,35 - (2,04*idade) + (5,73*altura) + (10,2*peso)</v>
      </c>
      <c r="R29" s="103" t="s">
        <v>193</v>
      </c>
      <c r="S29" s="106"/>
      <c r="T29" s="106"/>
      <c r="U29" s="106"/>
      <c r="V29" s="106"/>
      <c r="W29" s="106"/>
      <c r="X29" s="106"/>
      <c r="Y29" s="108"/>
      <c r="Z29" s="106"/>
      <c r="AA29" s="106"/>
      <c r="AB29" s="106"/>
      <c r="AC29" s="106"/>
      <c r="AD29" s="106"/>
    </row>
    <row r="30" spans="1:30" ht="21" hidden="1">
      <c r="A30" s="100" t="s">
        <v>116</v>
      </c>
      <c r="B30" s="9" t="str">
        <f t="shared" si="1"/>
        <v>Sexo:f_Gestante:s_Idade:any_Atividade:Ativo</v>
      </c>
      <c r="C30" s="99"/>
      <c r="D30" s="101" t="s">
        <v>188</v>
      </c>
      <c r="E30" s="100" t="s">
        <v>134</v>
      </c>
      <c r="F30" s="100" t="s">
        <v>189</v>
      </c>
      <c r="G30" s="100" t="s">
        <v>190</v>
      </c>
      <c r="H30" s="9" t="s">
        <v>37</v>
      </c>
      <c r="I30" s="100">
        <v>-223.84</v>
      </c>
      <c r="J30" s="100">
        <v>-2.04</v>
      </c>
      <c r="K30" s="100">
        <v>13.23</v>
      </c>
      <c r="L30" s="104">
        <v>8.15</v>
      </c>
      <c r="M30" s="100">
        <v>0</v>
      </c>
      <c r="N30" s="9">
        <v>0</v>
      </c>
      <c r="O30" s="100">
        <v>282</v>
      </c>
      <c r="P30" s="102">
        <f t="shared" si="0"/>
        <v>2578.3200000000002</v>
      </c>
      <c r="Q30" s="100" t="str">
        <f t="shared" si="2"/>
        <v>-223,84 - (2,04*idade) + (13,23*altura) + (8,15*peso)</v>
      </c>
      <c r="R30" s="103" t="s">
        <v>194</v>
      </c>
      <c r="S30" s="106"/>
      <c r="T30" s="106"/>
      <c r="U30" s="118" t="s">
        <v>195</v>
      </c>
      <c r="V30" s="116" t="str">
        <f>_xlfn.CONCAT("Sexo:",$V$14, "_Gestante:",$V$15, "_Idade:",$V$23,"_Atividade:",$V$21,"_Tri:",$V$26)</f>
        <v>Sexo:Feminino_Gestante:Sim_Idade:19≤_Atividade:Pouco ativo_Tri:1</v>
      </c>
      <c r="W30" s="106"/>
      <c r="X30" s="106"/>
      <c r="Y30" s="108"/>
      <c r="Z30" s="106"/>
      <c r="AA30" s="106"/>
      <c r="AB30" s="106"/>
      <c r="AC30" s="106"/>
      <c r="AD30" s="106"/>
    </row>
    <row r="31" spans="1:30" ht="21">
      <c r="A31" s="100" t="s">
        <v>116</v>
      </c>
      <c r="B31" s="9" t="str">
        <f t="shared" si="1"/>
        <v>Sexo:f_Gestante:s_Idade:any_Atividade:Muito ativo</v>
      </c>
      <c r="C31" s="99"/>
      <c r="D31" s="101" t="s">
        <v>188</v>
      </c>
      <c r="E31" s="100" t="s">
        <v>134</v>
      </c>
      <c r="F31" s="100" t="s">
        <v>189</v>
      </c>
      <c r="G31" s="100" t="s">
        <v>190</v>
      </c>
      <c r="H31" s="9" t="s">
        <v>130</v>
      </c>
      <c r="I31" s="100">
        <v>-779.72</v>
      </c>
      <c r="J31" s="100">
        <v>-2.04</v>
      </c>
      <c r="K31" s="100">
        <v>18.45</v>
      </c>
      <c r="L31" s="104">
        <v>8.73</v>
      </c>
      <c r="M31" s="100">
        <v>0</v>
      </c>
      <c r="N31" s="9">
        <v>0</v>
      </c>
      <c r="O31" s="100">
        <v>282</v>
      </c>
      <c r="P31" s="102">
        <f t="shared" si="0"/>
        <v>2973.6400000000003</v>
      </c>
      <c r="Q31" s="100" t="str">
        <f t="shared" si="2"/>
        <v>-779,72 - (2,04*idade) + (18,45*altura) + (8,73*peso)</v>
      </c>
      <c r="R31" s="103" t="s">
        <v>196</v>
      </c>
      <c r="S31" s="106"/>
      <c r="T31" s="106"/>
      <c r="U31" s="119"/>
      <c r="V31" s="117"/>
      <c r="W31" s="106"/>
      <c r="X31" s="106"/>
      <c r="Y31" s="108"/>
      <c r="Z31" s="106"/>
      <c r="AA31" s="106"/>
      <c r="AB31" s="106"/>
      <c r="AC31" s="106"/>
      <c r="AD31" s="106"/>
    </row>
    <row r="32" spans="1:30" ht="21">
      <c r="A32" s="9" t="s">
        <v>197</v>
      </c>
      <c r="B32" s="9" t="str">
        <f>_xlfn.CONCAT("Sexo:",E32, "_Gestante:",F32, "_Idade:",G32,"_Atividade:",H32,"_Tri:",N32)</f>
        <v>Sexo:Feminino_Gestante:Sim_Idade:19≤_Atividade:Inativo_Tri:2ou3</v>
      </c>
      <c r="C32" s="9" t="s">
        <v>198</v>
      </c>
      <c r="D32" s="96" t="s">
        <v>188</v>
      </c>
      <c r="E32" s="105" t="s">
        <v>153</v>
      </c>
      <c r="F32" s="105" t="s">
        <v>157</v>
      </c>
      <c r="G32" s="105" t="s">
        <v>121</v>
      </c>
      <c r="H32" s="9" t="s">
        <v>122</v>
      </c>
      <c r="I32" s="9">
        <v>1131.2</v>
      </c>
      <c r="J32" s="9">
        <v>-2.04</v>
      </c>
      <c r="K32" s="9">
        <v>0.34</v>
      </c>
      <c r="L32" s="9">
        <v>12.15</v>
      </c>
      <c r="M32" s="9">
        <v>9.16</v>
      </c>
      <c r="N32" s="9" t="s">
        <v>199</v>
      </c>
      <c r="O32">
        <v>282</v>
      </c>
      <c r="P32">
        <f>I32+(J32*$V$18)+(K32*$V$20)+(L32*$V$19)+(M32*$V$17)+$V$28</f>
        <v>2275.0100000000002</v>
      </c>
      <c r="Q32" s="9" t="str">
        <f>_xlfn.CONCAT(I32, IF(J32&lt;0, " - ", " + "), "(", IF(J32&lt;0,J32*-1,J32), "*idade)", IF(K32&lt;0, " - ", " + "), "(", IF(K32&lt;0,K32*-1,K32), "*altura)", IF(L32&lt;0, " - ", " + "), "(", IF(L32&lt;0,L32*-1,L32), "*peso)", " + ",M32,"* SemanaGestacao"," + DeposicaoEnergia")</f>
        <v>1131,2 - (2,04*idade) + (0,34*altura) + (12,15*peso) + 9,16* SemanaGestacao + DeposicaoEnergia</v>
      </c>
      <c r="R32" s="99" t="s">
        <v>200</v>
      </c>
      <c r="S32" s="106"/>
      <c r="T32" s="106"/>
      <c r="U32" s="123" t="s">
        <v>201</v>
      </c>
      <c r="V32" s="124" t="str">
        <f>IFERROR( VLOOKUP($V$30,$C$3:$Q$39,15,FALSE), "ERRO GRAVE insira as informações corretamente")</f>
        <v>575,77 - (7,01*idade) + (6,6*altura) + (12,14*peso) #No 1º Tri equação é igual mulher não gestante</v>
      </c>
      <c r="W32" s="106"/>
      <c r="X32" s="106"/>
      <c r="Y32" s="108"/>
      <c r="Z32" s="106"/>
      <c r="AA32" s="106"/>
      <c r="AB32" s="106"/>
      <c r="AC32" s="106"/>
      <c r="AD32" s="106"/>
    </row>
    <row r="33" spans="1:30" ht="21">
      <c r="A33" s="9" t="s">
        <v>197</v>
      </c>
      <c r="B33" s="9" t="str">
        <f t="shared" ref="B33:B39" si="3">_xlfn.CONCAT("Sexo:",E33, "_Gestante:",F33, "_Idade:",G33,"_Atividade:",H33,"_Tri:",N33)</f>
        <v>Sexo:Feminino_Gestante:Sim_Idade:19≤_Atividade:Pouco ativo_Tri:2ou3</v>
      </c>
      <c r="C33" s="9" t="s">
        <v>202</v>
      </c>
      <c r="D33" s="96" t="s">
        <v>188</v>
      </c>
      <c r="E33" s="105" t="s">
        <v>153</v>
      </c>
      <c r="F33" s="105" t="s">
        <v>157</v>
      </c>
      <c r="G33" s="105" t="s">
        <v>121</v>
      </c>
      <c r="H33" s="9" t="s">
        <v>125</v>
      </c>
      <c r="I33" s="9">
        <v>693.35</v>
      </c>
      <c r="J33" s="9">
        <v>-2.04</v>
      </c>
      <c r="K33" s="9">
        <v>5.73</v>
      </c>
      <c r="L33" s="98">
        <v>10.199999999999999</v>
      </c>
      <c r="M33" s="9">
        <v>9.16</v>
      </c>
      <c r="N33" s="9" t="s">
        <v>199</v>
      </c>
      <c r="O33">
        <v>282</v>
      </c>
      <c r="P33">
        <f>I33+(J33*$V$18)+(K33*$V$20)+(L33*$V$19)+(M33*$V$17)+$V$28</f>
        <v>2653.6600000000003</v>
      </c>
      <c r="Q33" s="9" t="str">
        <f>_xlfn.CONCAT(I33, IF(J33&lt;0, " - ", " + "), "(", IF(J33&lt;0,J33*-1,J33), "*idade)", IF(K33&lt;0, " - ", " + "), "(", IF(K33&lt;0,K33*-1,K33), "*altura)", IF(L33&lt;0, " - ", " + "), "(", IF(L33&lt;0,L33*-1,L33), "*peso)", " + ",M33,"* SemanaGestacao"," + DeposicaoEnergia")</f>
        <v>693,35 - (2,04*idade) + (5,73*altura) + (10,2*peso) + 9,16* SemanaGestacao + DeposicaoEnergia</v>
      </c>
      <c r="R33" s="99" t="s">
        <v>203</v>
      </c>
      <c r="S33" s="106"/>
      <c r="T33" s="106"/>
      <c r="U33" s="123" t="s">
        <v>204</v>
      </c>
      <c r="V33" s="125">
        <f>IFERROR(ROUND(VLOOKUP($V$30,$C$3:$R$39,14,FALSE), 0), "ERRO GRAVE insira as informações corretamente")</f>
        <v>2373</v>
      </c>
      <c r="W33" s="106"/>
      <c r="X33" s="108"/>
      <c r="Y33" s="108"/>
      <c r="Z33" s="106"/>
      <c r="AA33" s="106"/>
      <c r="AB33" s="106"/>
      <c r="AC33" s="106"/>
      <c r="AD33" s="106"/>
    </row>
    <row r="34" spans="1:30" ht="21">
      <c r="A34" s="9" t="s">
        <v>197</v>
      </c>
      <c r="B34" s="9" t="str">
        <f t="shared" si="3"/>
        <v>Sexo:Feminino_Gestante:Sim_Idade:19≤_Atividade:Ativo_Tri:2ou3</v>
      </c>
      <c r="C34" s="9" t="s">
        <v>205</v>
      </c>
      <c r="D34" s="96" t="s">
        <v>188</v>
      </c>
      <c r="E34" s="105" t="s">
        <v>153</v>
      </c>
      <c r="F34" s="105" t="s">
        <v>157</v>
      </c>
      <c r="G34" s="105" t="s">
        <v>121</v>
      </c>
      <c r="H34" s="9" t="s">
        <v>37</v>
      </c>
      <c r="I34" s="9">
        <v>-223.84</v>
      </c>
      <c r="J34" s="9">
        <v>-2.04</v>
      </c>
      <c r="K34" s="9">
        <v>13.23</v>
      </c>
      <c r="L34" s="98">
        <v>8.15</v>
      </c>
      <c r="M34" s="9">
        <v>9.16</v>
      </c>
      <c r="N34" s="9" t="s">
        <v>199</v>
      </c>
      <c r="O34">
        <v>282</v>
      </c>
      <c r="P34">
        <f>I34+(J34*$V$18)+(K34*$V$20)+(L34*$V$19)+(M34*$V$17)+$V$28</f>
        <v>2915.7200000000003</v>
      </c>
      <c r="Q34" s="9" t="str">
        <f>_xlfn.CONCAT(I34, IF(J34&lt;0, " - ", " + "), "(", IF(J34&lt;0,J34*-1,J34), "*idade)", IF(K34&lt;0, " - ", " + "), "(", IF(K34&lt;0,K34*-1,K34), "*altura)", IF(L34&lt;0, " - ", " + "), "(", IF(L34&lt;0,L34*-1,L34), "*peso)", " + ",M34,"* SemanaGestacao"," + DeposicaoEnergia")</f>
        <v>-223,84 - (2,04*idade) + (13,23*altura) + (8,15*peso) + 9,16* SemanaGestacao + DeposicaoEnergia</v>
      </c>
      <c r="R34" s="99" t="s">
        <v>206</v>
      </c>
      <c r="S34" s="106"/>
      <c r="T34" s="106"/>
      <c r="U34" s="123" t="s">
        <v>207</v>
      </c>
      <c r="V34" s="124" t="str">
        <f>IFERROR(_xlfn.CONCAT(VLOOKUP($V$30,$C$3:$R$39,13,FALSE)," "), "ERRO GRAVE insira as informações corretamente")</f>
        <v xml:space="preserve">246 </v>
      </c>
      <c r="W34" s="106"/>
      <c r="X34" s="108"/>
      <c r="Y34" s="108"/>
      <c r="Z34" s="106"/>
      <c r="AA34" s="106"/>
      <c r="AB34" s="106"/>
      <c r="AC34" s="106"/>
      <c r="AD34" s="106"/>
    </row>
    <row r="35" spans="1:30" ht="21">
      <c r="A35" s="9" t="s">
        <v>197</v>
      </c>
      <c r="B35" s="9" t="str">
        <f t="shared" si="3"/>
        <v>Sexo:Feminino_Gestante:Sim_Idade:19≤_Atividade:Muito ativo_Tri:2ou3</v>
      </c>
      <c r="C35" s="9" t="s">
        <v>208</v>
      </c>
      <c r="D35" s="96" t="s">
        <v>188</v>
      </c>
      <c r="E35" s="105" t="s">
        <v>153</v>
      </c>
      <c r="F35" s="105" t="s">
        <v>157</v>
      </c>
      <c r="G35" s="105" t="s">
        <v>121</v>
      </c>
      <c r="H35" s="9" t="s">
        <v>130</v>
      </c>
      <c r="I35" s="9">
        <v>-779.72</v>
      </c>
      <c r="J35" s="9">
        <v>-2.04</v>
      </c>
      <c r="K35" s="9">
        <v>18.45</v>
      </c>
      <c r="L35" s="98">
        <v>8.73</v>
      </c>
      <c r="M35" s="9">
        <v>9.16</v>
      </c>
      <c r="N35" s="9" t="s">
        <v>199</v>
      </c>
      <c r="O35">
        <v>282</v>
      </c>
      <c r="P35">
        <f>I35+(J35*$V$18)+(K35*$V$20)+(L35*$V$19)+(M35*$V$17)+$V$28</f>
        <v>3311.0400000000004</v>
      </c>
      <c r="Q35" s="9" t="str">
        <f>_xlfn.CONCAT(I35, IF(J35&lt;0, " - ", " + "), "(", IF(J35&lt;0,J35*-1,J35), "*idade)", IF(K35&lt;0, " - ", " + "), "(", IF(K35&lt;0,K35*-1,K35), "*altura)", IF(L35&lt;0, " - ", " + "), "(", IF(L35&lt;0,L35*-1,L35), "*peso)", " + ",M35,"* SemanaGestacao"," + DeposicaoEnergia")</f>
        <v>-779,72 - (2,04*idade) + (18,45*altura) + (8,73*peso) + 9,16* SemanaGestacao + DeposicaoEnergia</v>
      </c>
      <c r="R35" s="99" t="s">
        <v>209</v>
      </c>
      <c r="S35" s="106"/>
      <c r="T35" s="106"/>
      <c r="U35" s="123" t="s">
        <v>210</v>
      </c>
      <c r="V35" s="124" t="str">
        <f>IFERROR(_xlfn.CONCAT($V$33-2*$V$34, " - ", $V$33+2*$V$34), "Erro no preenchimento ou no RMSE")</f>
        <v>1881 - 2865</v>
      </c>
      <c r="W35" s="106"/>
      <c r="X35" s="108"/>
      <c r="Y35" s="108"/>
      <c r="Z35" s="106"/>
      <c r="AA35" s="106"/>
      <c r="AB35" s="106"/>
      <c r="AC35" s="106"/>
      <c r="AD35" s="106"/>
    </row>
    <row r="36" spans="1:30">
      <c r="A36" s="9" t="s">
        <v>116</v>
      </c>
      <c r="B36" s="9" t="str">
        <f t="shared" si="3"/>
        <v>Sexo:Feminino_Gestante:Sim_Idade:19≤_Atividade:Inativo_Tri:1</v>
      </c>
      <c r="C36" s="9" t="s">
        <v>211</v>
      </c>
      <c r="D36" s="96" t="s">
        <v>133</v>
      </c>
      <c r="E36" s="105" t="s">
        <v>153</v>
      </c>
      <c r="F36" s="105" t="s">
        <v>157</v>
      </c>
      <c r="G36" s="105" t="s">
        <v>121</v>
      </c>
      <c r="H36" s="9" t="s">
        <v>122</v>
      </c>
      <c r="I36" s="9">
        <v>584.9</v>
      </c>
      <c r="J36" s="9">
        <v>-7.01</v>
      </c>
      <c r="K36" s="9">
        <v>5.72</v>
      </c>
      <c r="L36" s="9">
        <v>11.71</v>
      </c>
      <c r="M36" s="9">
        <v>0</v>
      </c>
      <c r="N36" s="9">
        <v>1</v>
      </c>
      <c r="O36" s="9">
        <v>246</v>
      </c>
      <c r="P36">
        <f>I36+(J36*$V$18)+(K36*$V$20)+(L36*$V$19)</f>
        <v>2199.84</v>
      </c>
      <c r="Q36" s="9" t="str">
        <f>_xlfn.CONCAT(I36, IF(J36&lt;0, " - ", " + "), "(", IF(J36&lt;0,J36*-1,J36), "*idade)", IF(K36&lt;0, " - ", " + "), "(", IF(K36&lt;0,K36*-1,K36), "*altura)", IF(L36&lt;0, " - ", " + "), "(", IF(L36&lt;0,L36*-1,L36), "*peso)", " #No 1º Tri equação é igual mulher não gestante")</f>
        <v>584,9 - (7,01*idade) + (5,72*altura) + (11,71*peso) #No 1º Tri equação é igual mulher não gestante</v>
      </c>
      <c r="R36" s="99" t="s">
        <v>135</v>
      </c>
      <c r="S36" s="106"/>
      <c r="T36" s="106"/>
      <c r="U36" s="106"/>
      <c r="V36" s="106"/>
      <c r="W36" s="106"/>
      <c r="X36" s="108"/>
      <c r="Y36" s="108"/>
      <c r="Z36" s="106"/>
      <c r="AA36" s="106"/>
      <c r="AB36" s="106"/>
      <c r="AC36" s="106"/>
      <c r="AD36" s="106"/>
    </row>
    <row r="37" spans="1:30">
      <c r="A37" s="9" t="s">
        <v>116</v>
      </c>
      <c r="B37" s="9" t="str">
        <f t="shared" si="3"/>
        <v>Sexo:Feminino_Gestante:Sim_Idade:19≤_Atividade:Pouco ativo_Tri:1</v>
      </c>
      <c r="C37" s="9" t="s">
        <v>212</v>
      </c>
      <c r="D37" s="96" t="s">
        <v>133</v>
      </c>
      <c r="E37" s="105" t="s">
        <v>153</v>
      </c>
      <c r="F37" s="105" t="s">
        <v>157</v>
      </c>
      <c r="G37" s="105" t="s">
        <v>121</v>
      </c>
      <c r="H37" s="9" t="s">
        <v>125</v>
      </c>
      <c r="I37" s="9">
        <v>575.77</v>
      </c>
      <c r="J37" s="9">
        <v>-7.01</v>
      </c>
      <c r="K37" s="9">
        <v>6.6</v>
      </c>
      <c r="L37" s="9">
        <v>12.14</v>
      </c>
      <c r="M37" s="9">
        <v>0</v>
      </c>
      <c r="N37" s="9">
        <v>1</v>
      </c>
      <c r="O37" s="9">
        <v>246</v>
      </c>
      <c r="P37">
        <f>I37+(J37*$V$18)+(K37*$V$20)+(L37*$V$19)</f>
        <v>2372.66</v>
      </c>
      <c r="Q37" s="9" t="str">
        <f>_xlfn.CONCAT(I37, IF(J37&lt;0, " - ", " + "), "(", IF(J37&lt;0,J37*-1,J37), "*idade)", IF(K37&lt;0, " - ", " + "), "(", IF(K37&lt;0,K37*-1,K37), "*altura)", IF(L37&lt;0, " - ", " + "), "(", IF(L37&lt;0,L37*-1,L37), "*peso)", " #No 1º Tri equação é igual mulher não gestante")</f>
        <v>575,77 - (7,01*idade) + (6,6*altura) + (12,14*peso) #No 1º Tri equação é igual mulher não gestante</v>
      </c>
      <c r="R37" s="99" t="s">
        <v>137</v>
      </c>
      <c r="S37" s="106"/>
      <c r="T37" s="106"/>
      <c r="U37" s="106"/>
      <c r="V37" s="106"/>
      <c r="W37" s="106"/>
      <c r="X37" s="108"/>
      <c r="Y37" s="108"/>
      <c r="Z37" s="106"/>
      <c r="AA37" s="106"/>
      <c r="AB37" s="106"/>
      <c r="AC37" s="106"/>
      <c r="AD37" s="106"/>
    </row>
    <row r="38" spans="1:30">
      <c r="A38" s="9" t="s">
        <v>116</v>
      </c>
      <c r="B38" s="9" t="str">
        <f t="shared" si="3"/>
        <v>Sexo:Feminino_Gestante:Sim_Idade:19≤_Atividade:Ativo_Tri:1</v>
      </c>
      <c r="C38" s="9" t="s">
        <v>213</v>
      </c>
      <c r="D38" s="96" t="s">
        <v>133</v>
      </c>
      <c r="E38" s="105" t="s">
        <v>153</v>
      </c>
      <c r="F38" s="105" t="s">
        <v>157</v>
      </c>
      <c r="G38" s="105" t="s">
        <v>121</v>
      </c>
      <c r="H38" s="9" t="s">
        <v>37</v>
      </c>
      <c r="I38" s="9">
        <v>710.25</v>
      </c>
      <c r="J38" s="9">
        <v>-7.01</v>
      </c>
      <c r="K38" s="9">
        <v>6.54</v>
      </c>
      <c r="L38" s="9">
        <v>12.34</v>
      </c>
      <c r="M38" s="9">
        <v>0</v>
      </c>
      <c r="N38" s="9">
        <v>1</v>
      </c>
      <c r="O38" s="9">
        <v>246</v>
      </c>
      <c r="P38">
        <f>I38+(J38*$V$18)+(K38*$V$20)+(L38*$V$19)</f>
        <v>2509.64</v>
      </c>
      <c r="Q38" s="9" t="str">
        <f>_xlfn.CONCAT(I38, IF(J38&lt;0, " - ", " + "), "(", IF(J38&lt;0,J38*-1,J38), "*idade)", IF(K38&lt;0, " - ", " + "), "(", IF(K38&lt;0,K38*-1,K38), "*altura)", IF(L38&lt;0, " - ", " + "), "(", IF(L38&lt;0,L38*-1,L38), "*peso)", " #No 1º Tri equação é igual mulher não gestante")</f>
        <v>710,25 - (7,01*idade) + (6,54*altura) + (12,34*peso) #No 1º Tri equação é igual mulher não gestante</v>
      </c>
      <c r="R38" s="99" t="s">
        <v>139</v>
      </c>
      <c r="S38" s="106"/>
      <c r="T38" s="106"/>
      <c r="U38" s="106"/>
      <c r="V38" s="106"/>
      <c r="W38" s="106"/>
      <c r="X38" s="108"/>
      <c r="Y38" s="108"/>
      <c r="Z38" s="106"/>
      <c r="AA38" s="106"/>
      <c r="AB38" s="106"/>
      <c r="AC38" s="106"/>
      <c r="AD38" s="106"/>
    </row>
    <row r="39" spans="1:30">
      <c r="A39" s="9" t="s">
        <v>116</v>
      </c>
      <c r="B39" s="9" t="str">
        <f t="shared" si="3"/>
        <v>Sexo:Feminino_Gestante:Sim_Idade:19≤_Atividade:Muito ativo_Tri:1</v>
      </c>
      <c r="C39" s="9" t="s">
        <v>214</v>
      </c>
      <c r="D39" s="96" t="s">
        <v>133</v>
      </c>
      <c r="E39" s="105" t="s">
        <v>153</v>
      </c>
      <c r="F39" s="105" t="s">
        <v>157</v>
      </c>
      <c r="G39" s="105" t="s">
        <v>121</v>
      </c>
      <c r="H39" s="9" t="s">
        <v>130</v>
      </c>
      <c r="I39" s="9">
        <v>511.83</v>
      </c>
      <c r="J39" s="9">
        <v>-7.01</v>
      </c>
      <c r="K39" s="9">
        <v>9.07</v>
      </c>
      <c r="L39" s="9">
        <v>12.56</v>
      </c>
      <c r="M39" s="9">
        <v>0</v>
      </c>
      <c r="N39" s="9">
        <v>1</v>
      </c>
      <c r="O39" s="9">
        <v>246</v>
      </c>
      <c r="P39">
        <f>I39+(J39*$V$18)+(K39*$V$20)+(L39*$V$19)</f>
        <v>2768.27</v>
      </c>
      <c r="Q39" s="9" t="str">
        <f>_xlfn.CONCAT(I39, IF(J39&lt;0, " - ", " + "), "(", IF(J39&lt;0,J39*-1,J39), "*idade)", IF(K39&lt;0, " - ", " + "), "(", IF(K39&lt;0,K39*-1,K39), "*altura)", IF(L39&lt;0, " - ", " + "), "(", IF(L39&lt;0,L39*-1,L39), "*peso)", " #No 1º Tri equação é igual mulher não gestante")</f>
        <v>511,83 - (7,01*idade) + (9,07*altura) + (12,56*peso) #No 1º Tri equação é igual mulher não gestante</v>
      </c>
      <c r="R39" s="99" t="s">
        <v>141</v>
      </c>
      <c r="S39" s="106"/>
      <c r="T39" s="106"/>
      <c r="U39" s="106"/>
      <c r="V39" s="106"/>
      <c r="W39" s="106"/>
      <c r="X39" s="108"/>
      <c r="Y39" s="108"/>
      <c r="Z39" s="106"/>
      <c r="AA39" s="106"/>
      <c r="AB39" s="106"/>
      <c r="AC39" s="106"/>
      <c r="AD39" s="106"/>
    </row>
    <row r="40" spans="1:30">
      <c r="S40" s="106"/>
      <c r="T40" s="106"/>
      <c r="U40" s="106"/>
      <c r="V40" s="106"/>
      <c r="W40" s="106"/>
      <c r="X40" s="108"/>
      <c r="Y40" s="108"/>
      <c r="Z40" s="106"/>
      <c r="AA40" s="106"/>
      <c r="AB40" s="106"/>
      <c r="AC40" s="106"/>
      <c r="AD40" s="106"/>
    </row>
    <row r="41" spans="1:30">
      <c r="S41" s="106"/>
      <c r="T41" s="106"/>
      <c r="U41" s="106"/>
      <c r="V41" s="106"/>
      <c r="W41" s="106"/>
      <c r="X41" s="108"/>
      <c r="Y41" s="108"/>
      <c r="Z41" s="106"/>
      <c r="AA41" s="106"/>
      <c r="AB41" s="106"/>
      <c r="AC41" s="106"/>
      <c r="AD41" s="106"/>
    </row>
    <row r="42" spans="1:30">
      <c r="S42" s="106"/>
      <c r="T42" s="106"/>
      <c r="U42" s="106"/>
      <c r="V42" s="106"/>
      <c r="W42" s="106"/>
      <c r="X42" s="108"/>
      <c r="Y42" s="108"/>
      <c r="Z42" s="106"/>
      <c r="AA42" s="106"/>
      <c r="AB42" s="106"/>
      <c r="AC42" s="106"/>
      <c r="AD42" s="106"/>
    </row>
    <row r="43" spans="1:30">
      <c r="S43" s="106"/>
      <c r="T43" s="106"/>
      <c r="U43" s="106"/>
      <c r="V43" s="106"/>
      <c r="W43" s="106"/>
      <c r="X43" s="108"/>
      <c r="Y43" s="108"/>
      <c r="Z43" s="106"/>
      <c r="AA43" s="106"/>
      <c r="AB43" s="106"/>
      <c r="AC43" s="106"/>
      <c r="AD43" s="106"/>
    </row>
    <row r="44" spans="1:30">
      <c r="H44" t="s">
        <v>215</v>
      </c>
      <c r="I44" t="s">
        <v>216</v>
      </c>
      <c r="J44" t="s">
        <v>217</v>
      </c>
      <c r="K44" t="s">
        <v>218</v>
      </c>
      <c r="S44" s="106"/>
      <c r="T44" s="106"/>
      <c r="U44" s="106"/>
      <c r="V44" s="106"/>
      <c r="W44" s="106"/>
      <c r="X44" s="108"/>
      <c r="Y44" s="108"/>
      <c r="Z44" s="106"/>
      <c r="AA44" s="106"/>
      <c r="AB44" s="106"/>
      <c r="AC44" s="106"/>
      <c r="AD44" s="106"/>
    </row>
    <row r="45" spans="1:30">
      <c r="H45" t="s">
        <v>219</v>
      </c>
      <c r="I45" t="s">
        <v>220</v>
      </c>
      <c r="J45">
        <v>1</v>
      </c>
      <c r="K45">
        <v>1.31</v>
      </c>
      <c r="S45" s="106"/>
      <c r="T45" s="106"/>
      <c r="U45" s="106"/>
      <c r="V45" s="106"/>
      <c r="W45" s="106"/>
      <c r="X45" s="108"/>
      <c r="Y45" s="108"/>
      <c r="Z45" s="106"/>
      <c r="AA45" s="106"/>
      <c r="AB45" s="106"/>
      <c r="AC45" s="106"/>
      <c r="AD45" s="106"/>
    </row>
    <row r="46" spans="1:30">
      <c r="H46" t="s">
        <v>219</v>
      </c>
      <c r="I46" t="s">
        <v>221</v>
      </c>
      <c r="J46">
        <v>1.31</v>
      </c>
      <c r="K46">
        <v>1.44</v>
      </c>
      <c r="S46" s="106"/>
      <c r="T46" s="106"/>
      <c r="U46" s="106"/>
      <c r="V46" s="106"/>
      <c r="W46" s="106"/>
      <c r="X46" s="108"/>
      <c r="Y46" s="108"/>
      <c r="Z46" s="106"/>
      <c r="AA46" s="106"/>
      <c r="AB46" s="106"/>
      <c r="AC46" s="106"/>
      <c r="AD46" s="106"/>
    </row>
    <row r="47" spans="1:30">
      <c r="H47" t="s">
        <v>219</v>
      </c>
      <c r="I47" t="s">
        <v>222</v>
      </c>
      <c r="J47">
        <v>1.44</v>
      </c>
      <c r="K47">
        <v>1.59</v>
      </c>
      <c r="S47" s="106"/>
      <c r="T47" s="106"/>
      <c r="U47" s="106"/>
      <c r="V47" s="106"/>
      <c r="W47" s="106"/>
      <c r="X47" s="108"/>
      <c r="Y47" s="108"/>
      <c r="Z47" s="106"/>
      <c r="AA47" s="106"/>
      <c r="AB47" s="106"/>
      <c r="AC47" s="106"/>
      <c r="AD47" s="106"/>
    </row>
    <row r="48" spans="1:30">
      <c r="H48" t="s">
        <v>219</v>
      </c>
      <c r="I48" t="s">
        <v>223</v>
      </c>
      <c r="J48">
        <v>1.59</v>
      </c>
      <c r="K48">
        <v>2.5</v>
      </c>
      <c r="S48" s="106"/>
      <c r="T48" s="106"/>
      <c r="U48" s="106"/>
      <c r="V48" s="106"/>
      <c r="W48" s="106"/>
      <c r="X48" s="108"/>
      <c r="Y48" s="108"/>
      <c r="Z48" s="106"/>
      <c r="AA48" s="106"/>
      <c r="AB48" s="106"/>
      <c r="AC48" s="106"/>
      <c r="AD48" s="106"/>
    </row>
    <row r="49" spans="8:30">
      <c r="H49" t="s">
        <v>224</v>
      </c>
      <c r="I49" t="s">
        <v>220</v>
      </c>
      <c r="J49">
        <v>1</v>
      </c>
      <c r="K49">
        <v>1.44</v>
      </c>
      <c r="S49" s="106"/>
      <c r="T49" s="106"/>
      <c r="U49" s="106"/>
      <c r="V49" s="106"/>
      <c r="W49" s="106"/>
      <c r="X49" s="108"/>
      <c r="Y49" s="108"/>
      <c r="Z49" s="106"/>
      <c r="AA49" s="106"/>
      <c r="AB49" s="106"/>
      <c r="AC49" s="106"/>
      <c r="AD49" s="106"/>
    </row>
    <row r="50" spans="8:30">
      <c r="H50" t="s">
        <v>224</v>
      </c>
      <c r="I50" t="s">
        <v>221</v>
      </c>
      <c r="J50">
        <v>1.44</v>
      </c>
      <c r="K50">
        <v>1.59</v>
      </c>
      <c r="S50" s="106"/>
      <c r="T50" s="106"/>
      <c r="U50" s="106"/>
      <c r="V50" s="106"/>
      <c r="W50" s="106"/>
      <c r="X50" s="108"/>
      <c r="Y50" s="108"/>
      <c r="Z50" s="106"/>
      <c r="AA50" s="106"/>
      <c r="AB50" s="106"/>
      <c r="AC50" s="106"/>
      <c r="AD50" s="106"/>
    </row>
    <row r="51" spans="8:30">
      <c r="H51" t="s">
        <v>224</v>
      </c>
      <c r="I51" t="s">
        <v>222</v>
      </c>
      <c r="J51">
        <v>1.59</v>
      </c>
      <c r="K51">
        <v>1.77</v>
      </c>
      <c r="S51" s="106"/>
      <c r="T51" s="106"/>
      <c r="U51" s="106"/>
      <c r="V51" s="106"/>
      <c r="W51" s="106"/>
      <c r="X51" s="108"/>
      <c r="Y51" s="108"/>
      <c r="Z51" s="106"/>
      <c r="AA51" s="106"/>
      <c r="AB51" s="106"/>
      <c r="AC51" s="106"/>
      <c r="AD51" s="106"/>
    </row>
    <row r="52" spans="8:30">
      <c r="H52" t="s">
        <v>224</v>
      </c>
      <c r="I52" t="s">
        <v>223</v>
      </c>
      <c r="J52">
        <v>1.77</v>
      </c>
      <c r="K52">
        <v>2.5</v>
      </c>
      <c r="S52" s="106"/>
      <c r="T52" s="106"/>
      <c r="U52" s="106"/>
      <c r="V52" s="106"/>
      <c r="W52" s="106"/>
      <c r="X52" s="108"/>
      <c r="Y52" s="108"/>
      <c r="Z52" s="106"/>
      <c r="AA52" s="106"/>
      <c r="AB52" s="106"/>
      <c r="AC52" s="106"/>
      <c r="AD52" s="106"/>
    </row>
    <row r="53" spans="8:30">
      <c r="H53" t="s">
        <v>225</v>
      </c>
      <c r="I53" t="s">
        <v>220</v>
      </c>
      <c r="J53">
        <v>1</v>
      </c>
      <c r="K53">
        <v>1.56</v>
      </c>
      <c r="S53" s="106"/>
      <c r="T53" s="106"/>
      <c r="U53" s="106"/>
      <c r="V53" s="106"/>
      <c r="W53" s="106"/>
      <c r="X53" s="108"/>
      <c r="Y53" s="108"/>
      <c r="Z53" s="106"/>
      <c r="AA53" s="106"/>
      <c r="AB53" s="106"/>
      <c r="AC53" s="106"/>
      <c r="AD53" s="106"/>
    </row>
    <row r="54" spans="8:30">
      <c r="H54" t="s">
        <v>225</v>
      </c>
      <c r="I54" t="s">
        <v>221</v>
      </c>
      <c r="J54">
        <v>1.56</v>
      </c>
      <c r="K54">
        <v>1.73</v>
      </c>
      <c r="S54" s="106"/>
      <c r="T54" s="106"/>
      <c r="U54" s="106"/>
      <c r="V54" s="106"/>
      <c r="W54" s="106"/>
      <c r="X54" s="108"/>
      <c r="Y54" s="108"/>
      <c r="Z54" s="106"/>
      <c r="AA54" s="106"/>
      <c r="AB54" s="106"/>
      <c r="AC54" s="106"/>
      <c r="AD54" s="106"/>
    </row>
    <row r="55" spans="8:30">
      <c r="H55" t="s">
        <v>225</v>
      </c>
      <c r="I55" t="s">
        <v>222</v>
      </c>
      <c r="J55">
        <v>1.73</v>
      </c>
      <c r="K55">
        <v>1.92</v>
      </c>
      <c r="S55" s="106"/>
      <c r="T55" s="106"/>
      <c r="U55" s="106"/>
      <c r="V55" s="106"/>
      <c r="W55" s="106"/>
      <c r="X55" s="108"/>
      <c r="Y55" s="108"/>
      <c r="Z55" s="106"/>
      <c r="AA55" s="106"/>
      <c r="AB55" s="106"/>
      <c r="AC55" s="106"/>
      <c r="AD55" s="106"/>
    </row>
    <row r="56" spans="8:30">
      <c r="H56" t="s">
        <v>225</v>
      </c>
      <c r="I56" t="s">
        <v>223</v>
      </c>
      <c r="J56">
        <v>1.92</v>
      </c>
      <c r="K56">
        <v>2.5</v>
      </c>
      <c r="S56" s="106"/>
      <c r="T56" s="106"/>
      <c r="U56" s="106"/>
      <c r="V56" s="106"/>
      <c r="W56" s="106"/>
      <c r="X56" s="108"/>
      <c r="Y56" s="108"/>
      <c r="Z56" s="106"/>
      <c r="AA56" s="106"/>
      <c r="AB56" s="106"/>
      <c r="AC56" s="106"/>
      <c r="AD56" s="106"/>
    </row>
    <row r="57" spans="8:30">
      <c r="H57" t="s">
        <v>226</v>
      </c>
      <c r="I57" t="s">
        <v>220</v>
      </c>
      <c r="J57">
        <v>1</v>
      </c>
      <c r="K57">
        <v>1.53</v>
      </c>
      <c r="S57" s="106"/>
      <c r="T57" s="106"/>
      <c r="U57" s="106"/>
      <c r="V57" s="106"/>
      <c r="W57" s="106"/>
      <c r="X57" s="108"/>
      <c r="Y57" s="108"/>
      <c r="Z57" s="106"/>
      <c r="AA57" s="106"/>
      <c r="AB57" s="106"/>
      <c r="AC57" s="106"/>
      <c r="AD57" s="106"/>
    </row>
    <row r="58" spans="8:30">
      <c r="H58" t="s">
        <v>226</v>
      </c>
      <c r="I58" t="s">
        <v>221</v>
      </c>
      <c r="J58">
        <v>1.53</v>
      </c>
      <c r="K58">
        <v>1.68</v>
      </c>
      <c r="S58" s="106"/>
      <c r="T58" s="106"/>
      <c r="U58" s="106"/>
      <c r="V58" s="106"/>
      <c r="W58" s="106"/>
      <c r="X58" s="108"/>
      <c r="Y58" s="108"/>
      <c r="Z58" s="106"/>
      <c r="AA58" s="106"/>
      <c r="AB58" s="106"/>
      <c r="AC58" s="106"/>
      <c r="AD58" s="106"/>
    </row>
    <row r="59" spans="8:30">
      <c r="H59" t="s">
        <v>226</v>
      </c>
      <c r="I59" t="s">
        <v>222</v>
      </c>
      <c r="J59">
        <v>1.68</v>
      </c>
      <c r="K59">
        <v>1.85</v>
      </c>
      <c r="S59" s="106"/>
      <c r="T59" s="106"/>
      <c r="U59" s="106"/>
      <c r="V59" s="106"/>
      <c r="W59" s="106"/>
      <c r="X59" s="108"/>
      <c r="Y59" s="108"/>
      <c r="Z59" s="106"/>
      <c r="AA59" s="106"/>
      <c r="AB59" s="106"/>
      <c r="AC59" s="106"/>
      <c r="AD59" s="106"/>
    </row>
    <row r="60" spans="8:30">
      <c r="H60" t="s">
        <v>226</v>
      </c>
      <c r="I60" t="s">
        <v>223</v>
      </c>
      <c r="J60">
        <v>1.85</v>
      </c>
      <c r="K60">
        <v>2.5</v>
      </c>
      <c r="S60" s="106"/>
      <c r="T60" s="106"/>
      <c r="U60" s="106"/>
      <c r="V60" s="106"/>
      <c r="W60" s="106"/>
      <c r="X60" s="108"/>
      <c r="Y60" s="108"/>
      <c r="Z60" s="106"/>
      <c r="AA60" s="106"/>
      <c r="AB60" s="106"/>
      <c r="AC60" s="106"/>
      <c r="AD60" s="106"/>
    </row>
    <row r="61" spans="8:30">
      <c r="S61" s="106"/>
      <c r="T61" s="106"/>
      <c r="U61" s="106"/>
      <c r="V61" s="106"/>
      <c r="W61" s="106"/>
      <c r="X61" s="108"/>
      <c r="Y61" s="108"/>
      <c r="Z61" s="106"/>
      <c r="AA61" s="106"/>
      <c r="AB61" s="106"/>
      <c r="AC61" s="106"/>
      <c r="AD61" s="106"/>
    </row>
    <row r="62" spans="8:30">
      <c r="S62" s="106"/>
      <c r="T62" s="106"/>
      <c r="U62" s="106"/>
      <c r="V62" s="106"/>
      <c r="W62" s="106"/>
      <c r="X62" s="108"/>
      <c r="Y62" s="108"/>
      <c r="Z62" s="106"/>
      <c r="AA62" s="106"/>
      <c r="AB62" s="106"/>
      <c r="AC62" s="106"/>
      <c r="AD62" s="106"/>
    </row>
    <row r="63" spans="8:30">
      <c r="S63" s="106"/>
      <c r="T63" s="106"/>
      <c r="U63" s="106"/>
      <c r="V63" s="106"/>
      <c r="W63" s="106"/>
      <c r="X63" s="108"/>
      <c r="Y63" s="108"/>
      <c r="Z63" s="106"/>
      <c r="AA63" s="106"/>
      <c r="AB63" s="106"/>
      <c r="AC63" s="106"/>
      <c r="AD63" s="106"/>
    </row>
    <row r="64" spans="8:30">
      <c r="S64" s="106"/>
      <c r="T64" s="106"/>
      <c r="U64" s="106"/>
      <c r="V64" s="106"/>
      <c r="W64" s="106"/>
      <c r="X64" s="108"/>
      <c r="Y64" s="108"/>
      <c r="Z64" s="106"/>
      <c r="AA64" s="106"/>
      <c r="AB64" s="106"/>
      <c r="AC64" s="106"/>
      <c r="AD64" s="106"/>
    </row>
    <row r="65" spans="19:30">
      <c r="S65" s="106"/>
      <c r="T65" s="106"/>
      <c r="U65" s="106"/>
      <c r="V65" s="106"/>
      <c r="W65" s="106"/>
      <c r="X65" s="108"/>
      <c r="Y65" s="108"/>
      <c r="Z65" s="106"/>
      <c r="AA65" s="106"/>
      <c r="AB65" s="106"/>
      <c r="AC65" s="106"/>
      <c r="AD65" s="106"/>
    </row>
    <row r="66" spans="19:30">
      <c r="S66" s="106"/>
      <c r="T66" s="106"/>
      <c r="U66" s="106"/>
      <c r="V66" s="106"/>
      <c r="W66" s="106"/>
      <c r="X66" s="108"/>
      <c r="Y66" s="108"/>
      <c r="Z66" s="106"/>
      <c r="AA66" s="106"/>
      <c r="AB66" s="106"/>
      <c r="AC66" s="106"/>
      <c r="AD66" s="106"/>
    </row>
    <row r="67" spans="19:30">
      <c r="S67" s="106"/>
      <c r="T67" s="106"/>
      <c r="U67" s="106"/>
      <c r="V67" s="106"/>
      <c r="W67" s="106"/>
      <c r="X67" s="108"/>
      <c r="Y67" s="108"/>
      <c r="Z67" s="106"/>
      <c r="AA67" s="106"/>
      <c r="AB67" s="106"/>
      <c r="AC67" s="106"/>
      <c r="AD67" s="106"/>
    </row>
    <row r="68" spans="19:30">
      <c r="S68" s="106"/>
      <c r="T68" s="106"/>
      <c r="U68" s="106"/>
      <c r="V68" s="106"/>
      <c r="W68" s="106"/>
      <c r="X68" s="108"/>
      <c r="Y68" s="108"/>
      <c r="Z68" s="106"/>
      <c r="AA68" s="106"/>
      <c r="AB68" s="106"/>
      <c r="AC68" s="106"/>
      <c r="AD68" s="106"/>
    </row>
    <row r="69" spans="19:30">
      <c r="S69" s="106"/>
      <c r="T69" s="106"/>
      <c r="U69" s="106"/>
      <c r="V69" s="106"/>
      <c r="W69" s="106"/>
      <c r="X69" s="108"/>
      <c r="Y69" s="108"/>
      <c r="Z69" s="106"/>
      <c r="AA69" s="106"/>
      <c r="AB69" s="106"/>
      <c r="AC69" s="106"/>
      <c r="AD69" s="106"/>
    </row>
    <row r="70" spans="19:30">
      <c r="S70" s="106"/>
      <c r="T70" s="106"/>
      <c r="U70" s="106"/>
      <c r="V70" s="106"/>
      <c r="W70" s="106"/>
      <c r="X70" s="108"/>
      <c r="Y70" s="108"/>
      <c r="Z70" s="106"/>
      <c r="AA70" s="106"/>
      <c r="AB70" s="106"/>
      <c r="AC70" s="106"/>
      <c r="AD70" s="106"/>
    </row>
    <row r="71" spans="19:30">
      <c r="S71" s="106"/>
      <c r="T71" s="106"/>
      <c r="U71" s="106"/>
      <c r="V71" s="106"/>
      <c r="W71" s="106"/>
      <c r="X71" s="108"/>
      <c r="Y71" s="108"/>
      <c r="Z71" s="106"/>
      <c r="AA71" s="106"/>
      <c r="AB71" s="106"/>
      <c r="AC71" s="106"/>
      <c r="AD71" s="106"/>
    </row>
    <row r="72" spans="19:30">
      <c r="S72" s="106"/>
      <c r="T72" s="106"/>
      <c r="U72" s="106"/>
      <c r="V72" s="106"/>
      <c r="W72" s="106"/>
      <c r="X72" s="108"/>
      <c r="Y72" s="108"/>
      <c r="Z72" s="106"/>
      <c r="AA72" s="106"/>
      <c r="AB72" s="106"/>
      <c r="AC72" s="106"/>
      <c r="AD72" s="106"/>
    </row>
    <row r="73" spans="19:30">
      <c r="S73" s="106"/>
      <c r="T73" s="106"/>
      <c r="U73" s="106"/>
      <c r="V73" s="106"/>
      <c r="W73" s="106"/>
      <c r="X73" s="108"/>
      <c r="Y73" s="108"/>
      <c r="Z73" s="106"/>
      <c r="AA73" s="106"/>
      <c r="AB73" s="106"/>
      <c r="AC73" s="106"/>
      <c r="AD73" s="106"/>
    </row>
    <row r="74" spans="19:30">
      <c r="S74" s="106"/>
      <c r="T74" s="106"/>
      <c r="U74" s="106"/>
      <c r="V74" s="106"/>
      <c r="W74" s="106"/>
      <c r="X74" s="108"/>
      <c r="Y74" s="108"/>
      <c r="Z74" s="106"/>
      <c r="AA74" s="106"/>
      <c r="AB74" s="106"/>
      <c r="AC74" s="106"/>
      <c r="AD74" s="106"/>
    </row>
    <row r="75" spans="19:30">
      <c r="S75" s="106"/>
      <c r="T75" s="106"/>
      <c r="U75" s="106"/>
      <c r="V75" s="106"/>
      <c r="W75" s="106"/>
      <c r="X75" s="108"/>
      <c r="Y75" s="108"/>
      <c r="Z75" s="106"/>
      <c r="AA75" s="106"/>
      <c r="AB75" s="106"/>
      <c r="AC75" s="106"/>
      <c r="AD75" s="106"/>
    </row>
    <row r="76" spans="19:30">
      <c r="S76" s="106"/>
      <c r="T76" s="106"/>
      <c r="U76" s="106"/>
      <c r="V76" s="106"/>
      <c r="W76" s="106"/>
      <c r="X76" s="108"/>
      <c r="Y76" s="108"/>
      <c r="Z76" s="106"/>
      <c r="AA76" s="106"/>
      <c r="AB76" s="106"/>
      <c r="AC76" s="106"/>
      <c r="AD76" s="106"/>
    </row>
    <row r="77" spans="19:30">
      <c r="S77" s="106"/>
      <c r="T77" s="106"/>
      <c r="U77" s="106"/>
      <c r="V77" s="106"/>
      <c r="W77" s="106"/>
      <c r="X77" s="108"/>
      <c r="Y77" s="108"/>
      <c r="Z77" s="106"/>
      <c r="AA77" s="106"/>
      <c r="AB77" s="106"/>
      <c r="AC77" s="106"/>
      <c r="AD77" s="106"/>
    </row>
    <row r="78" spans="19:30">
      <c r="S78" s="106"/>
      <c r="T78" s="106"/>
      <c r="U78" s="106"/>
      <c r="V78" s="106"/>
      <c r="W78" s="106"/>
      <c r="X78" s="108"/>
      <c r="Y78" s="108"/>
      <c r="Z78" s="106"/>
      <c r="AA78" s="106"/>
      <c r="AB78" s="106"/>
      <c r="AC78" s="106"/>
      <c r="AD78" s="106"/>
    </row>
    <row r="79" spans="19:30">
      <c r="S79" s="106"/>
      <c r="T79" s="106"/>
      <c r="U79" s="106"/>
      <c r="V79" s="106"/>
      <c r="W79" s="106"/>
      <c r="X79" s="108"/>
      <c r="Y79" s="108"/>
      <c r="Z79" s="106"/>
      <c r="AA79" s="106"/>
      <c r="AB79" s="106"/>
      <c r="AC79" s="106"/>
      <c r="AD79" s="106"/>
    </row>
    <row r="80" spans="19:30">
      <c r="S80" s="106"/>
      <c r="T80" s="106"/>
      <c r="U80" s="106"/>
      <c r="V80" s="106"/>
      <c r="W80" s="106"/>
      <c r="X80" s="108"/>
      <c r="Y80" s="108"/>
      <c r="Z80" s="106"/>
      <c r="AA80" s="106"/>
      <c r="AB80" s="106"/>
      <c r="AC80" s="106"/>
      <c r="AD80" s="106"/>
    </row>
    <row r="81" spans="19:30">
      <c r="S81" s="106"/>
      <c r="T81" s="106"/>
      <c r="U81" s="106"/>
      <c r="V81" s="106"/>
      <c r="W81" s="106"/>
      <c r="X81" s="108"/>
      <c r="Y81" s="108"/>
      <c r="Z81" s="106"/>
      <c r="AA81" s="106"/>
      <c r="AB81" s="106"/>
      <c r="AC81" s="106"/>
      <c r="AD81" s="106"/>
    </row>
    <row r="82" spans="19:30">
      <c r="S82" s="106"/>
      <c r="T82" s="106"/>
      <c r="U82" s="106"/>
      <c r="V82" s="106"/>
      <c r="W82" s="106"/>
      <c r="X82" s="108"/>
      <c r="Y82" s="108"/>
      <c r="Z82" s="106"/>
      <c r="AA82" s="106"/>
      <c r="AB82" s="106"/>
      <c r="AC82" s="106"/>
      <c r="AD82" s="106"/>
    </row>
    <row r="83" spans="19:30">
      <c r="S83" s="106"/>
      <c r="T83" s="106"/>
      <c r="U83" s="106"/>
      <c r="V83" s="106"/>
      <c r="W83" s="106"/>
      <c r="X83" s="108"/>
      <c r="Y83" s="108"/>
      <c r="Z83" s="106"/>
      <c r="AA83" s="106"/>
      <c r="AB83" s="106"/>
      <c r="AC83" s="106"/>
      <c r="AD83" s="106"/>
    </row>
    <row r="84" spans="19:30">
      <c r="S84" s="106"/>
      <c r="T84" s="106"/>
      <c r="U84" s="106"/>
      <c r="V84" s="106"/>
      <c r="W84" s="106"/>
      <c r="X84" s="108"/>
      <c r="Y84" s="108"/>
      <c r="Z84" s="106"/>
      <c r="AA84" s="106"/>
      <c r="AB84" s="106"/>
      <c r="AC84" s="106"/>
      <c r="AD84" s="106"/>
    </row>
    <row r="85" spans="19:30">
      <c r="S85" s="106"/>
      <c r="T85" s="106"/>
      <c r="U85" s="106"/>
      <c r="V85" s="106"/>
      <c r="W85" s="106"/>
      <c r="X85" s="108"/>
      <c r="Y85" s="108"/>
      <c r="Z85" s="106"/>
      <c r="AA85" s="106"/>
      <c r="AB85" s="106"/>
      <c r="AC85" s="106"/>
      <c r="AD85" s="106"/>
    </row>
    <row r="86" spans="19:30">
      <c r="S86" s="106"/>
      <c r="T86" s="106"/>
      <c r="U86" s="106"/>
      <c r="V86" s="106"/>
      <c r="W86" s="106"/>
      <c r="X86" s="108"/>
      <c r="Y86" s="108"/>
      <c r="Z86" s="106"/>
      <c r="AA86" s="106"/>
      <c r="AB86" s="106"/>
      <c r="AC86" s="106"/>
      <c r="AD86" s="106"/>
    </row>
    <row r="87" spans="19:30">
      <c r="S87" s="106"/>
      <c r="T87" s="106"/>
      <c r="U87" s="106"/>
      <c r="V87" s="106"/>
      <c r="W87" s="106"/>
      <c r="X87" s="108"/>
      <c r="Y87" s="108"/>
      <c r="Z87" s="106"/>
      <c r="AA87" s="106"/>
      <c r="AB87" s="106"/>
      <c r="AC87" s="106"/>
      <c r="AD87" s="106"/>
    </row>
    <row r="88" spans="19:30">
      <c r="S88" s="106"/>
      <c r="T88" s="106"/>
      <c r="U88" s="106"/>
      <c r="V88" s="106"/>
      <c r="W88" s="106"/>
      <c r="X88" s="108"/>
      <c r="Y88" s="108"/>
      <c r="Z88" s="106"/>
      <c r="AA88" s="106"/>
      <c r="AB88" s="106"/>
      <c r="AC88" s="106"/>
      <c r="AD88" s="106"/>
    </row>
    <row r="89" spans="19:30">
      <c r="S89" s="106"/>
      <c r="T89" s="106"/>
      <c r="U89" s="106"/>
      <c r="V89" s="106"/>
      <c r="W89" s="106"/>
      <c r="X89" s="108"/>
      <c r="Y89" s="108"/>
      <c r="Z89" s="106"/>
      <c r="AA89" s="106"/>
      <c r="AB89" s="106"/>
      <c r="AC89" s="106"/>
      <c r="AD89" s="106"/>
    </row>
    <row r="90" spans="19:30">
      <c r="S90" s="106"/>
      <c r="T90" s="106"/>
      <c r="U90" s="106"/>
      <c r="V90" s="106"/>
      <c r="W90" s="106"/>
      <c r="X90" s="108"/>
      <c r="Y90" s="108"/>
      <c r="Z90" s="106"/>
      <c r="AA90" s="106"/>
      <c r="AB90" s="106"/>
      <c r="AC90" s="106"/>
      <c r="AD90" s="106"/>
    </row>
    <row r="91" spans="19:30">
      <c r="S91" s="106"/>
      <c r="T91" s="106"/>
      <c r="U91" s="106"/>
      <c r="V91" s="106"/>
      <c r="W91" s="106"/>
      <c r="X91" s="108"/>
      <c r="Y91" s="108"/>
      <c r="Z91" s="106"/>
      <c r="AA91" s="106"/>
      <c r="AB91" s="106"/>
      <c r="AC91" s="106"/>
      <c r="AD91" s="106"/>
    </row>
    <row r="92" spans="19:30">
      <c r="S92" s="106"/>
      <c r="T92" s="106"/>
      <c r="U92" s="106"/>
      <c r="V92" s="106"/>
      <c r="W92" s="106"/>
      <c r="X92" s="108"/>
      <c r="Y92" s="108"/>
      <c r="Z92" s="106"/>
      <c r="AA92" s="106"/>
      <c r="AB92" s="106"/>
      <c r="AC92" s="106"/>
      <c r="AD92" s="106"/>
    </row>
    <row r="93" spans="19:30">
      <c r="S93" s="106"/>
      <c r="T93" s="106"/>
      <c r="U93" s="106"/>
      <c r="V93" s="106"/>
      <c r="W93" s="106"/>
      <c r="X93" s="108"/>
      <c r="Y93" s="108"/>
      <c r="Z93" s="106"/>
      <c r="AA93" s="106"/>
      <c r="AB93" s="106"/>
      <c r="AC93" s="106"/>
      <c r="AD93" s="106"/>
    </row>
    <row r="94" spans="19:30">
      <c r="S94" s="106"/>
      <c r="T94" s="106"/>
      <c r="U94" s="106"/>
      <c r="V94" s="106"/>
      <c r="W94" s="106"/>
      <c r="X94" s="108"/>
      <c r="Y94" s="108"/>
      <c r="Z94" s="106"/>
      <c r="AA94" s="106"/>
      <c r="AB94" s="106"/>
      <c r="AC94" s="106"/>
      <c r="AD94" s="106"/>
    </row>
    <row r="95" spans="19:30">
      <c r="S95" s="106"/>
      <c r="T95" s="106"/>
      <c r="U95" s="106"/>
      <c r="V95" s="106"/>
      <c r="W95" s="106"/>
      <c r="X95" s="108"/>
      <c r="Y95" s="108"/>
      <c r="Z95" s="106"/>
      <c r="AA95" s="106"/>
      <c r="AB95" s="106"/>
      <c r="AC95" s="106"/>
      <c r="AD95" s="106"/>
    </row>
    <row r="96" spans="19:30">
      <c r="S96" s="106"/>
      <c r="T96" s="106"/>
      <c r="U96" s="106"/>
      <c r="V96" s="106"/>
      <c r="W96" s="106"/>
      <c r="X96" s="108"/>
      <c r="Y96" s="108"/>
      <c r="Z96" s="106"/>
      <c r="AA96" s="106"/>
      <c r="AB96" s="106"/>
      <c r="AC96" s="106"/>
      <c r="AD96" s="106"/>
    </row>
    <row r="97" spans="19:30">
      <c r="S97" s="106"/>
      <c r="T97" s="106"/>
      <c r="U97" s="106"/>
      <c r="V97" s="106"/>
      <c r="W97" s="106"/>
      <c r="X97" s="108"/>
      <c r="Y97" s="108"/>
      <c r="Z97" s="106"/>
      <c r="AA97" s="106"/>
      <c r="AB97" s="106"/>
      <c r="AC97" s="106"/>
      <c r="AD97" s="106"/>
    </row>
    <row r="98" spans="19:30">
      <c r="S98" s="106"/>
      <c r="T98" s="106"/>
      <c r="U98" s="106"/>
      <c r="V98" s="106"/>
      <c r="W98" s="106"/>
      <c r="X98" s="108"/>
      <c r="Y98" s="108"/>
      <c r="Z98" s="106"/>
      <c r="AA98" s="106"/>
      <c r="AB98" s="106"/>
      <c r="AC98" s="106"/>
      <c r="AD98" s="106"/>
    </row>
    <row r="99" spans="19:30">
      <c r="S99" s="106"/>
      <c r="T99" s="106"/>
      <c r="U99" s="106"/>
      <c r="V99" s="106"/>
      <c r="W99" s="106"/>
      <c r="X99" s="108"/>
      <c r="Y99" s="108"/>
      <c r="Z99" s="106"/>
      <c r="AA99" s="106"/>
      <c r="AB99" s="106"/>
      <c r="AC99" s="106"/>
      <c r="AD99" s="106"/>
    </row>
    <row r="100" spans="19:30">
      <c r="S100" s="106"/>
      <c r="T100" s="106"/>
      <c r="U100" s="106"/>
      <c r="V100" s="106"/>
      <c r="W100" s="106"/>
      <c r="X100" s="108"/>
      <c r="Y100" s="108"/>
      <c r="Z100" s="106"/>
      <c r="AA100" s="106"/>
      <c r="AB100" s="106"/>
      <c r="AC100" s="106"/>
      <c r="AD100" s="106"/>
    </row>
    <row r="101" spans="19:30">
      <c r="S101" s="106"/>
      <c r="T101" s="106"/>
      <c r="U101" s="106"/>
      <c r="V101" s="106"/>
      <c r="W101" s="106"/>
      <c r="X101" s="108"/>
      <c r="Y101" s="108"/>
      <c r="Z101" s="106"/>
      <c r="AA101" s="106"/>
      <c r="AB101" s="106"/>
      <c r="AC101" s="106"/>
      <c r="AD101" s="106"/>
    </row>
    <row r="102" spans="19:30">
      <c r="S102" s="106"/>
      <c r="T102" s="106"/>
      <c r="U102" s="106"/>
      <c r="V102" s="106"/>
      <c r="W102" s="106"/>
      <c r="X102" s="108"/>
      <c r="Y102" s="108"/>
      <c r="Z102" s="106"/>
      <c r="AA102" s="106"/>
      <c r="AB102" s="106"/>
      <c r="AC102" s="106"/>
      <c r="AD102" s="106"/>
    </row>
    <row r="103" spans="19:30">
      <c r="S103" s="106"/>
      <c r="T103" s="106"/>
      <c r="U103" s="106"/>
      <c r="V103" s="106"/>
      <c r="W103" s="106"/>
      <c r="X103" s="108"/>
      <c r="Y103" s="108"/>
      <c r="Z103" s="106"/>
      <c r="AA103" s="106"/>
      <c r="AB103" s="106"/>
      <c r="AC103" s="106"/>
      <c r="AD103" s="106"/>
    </row>
    <row r="104" spans="19:30">
      <c r="S104" s="106"/>
      <c r="T104" s="106"/>
      <c r="U104" s="106"/>
      <c r="V104" s="106"/>
      <c r="W104" s="106"/>
      <c r="X104" s="108"/>
      <c r="Y104" s="108"/>
      <c r="Z104" s="106"/>
      <c r="AA104" s="106"/>
      <c r="AB104" s="106"/>
      <c r="AC104" s="106"/>
      <c r="AD104" s="106"/>
    </row>
    <row r="105" spans="19:30">
      <c r="S105" s="106"/>
      <c r="T105" s="106"/>
      <c r="U105" s="106"/>
      <c r="V105" s="106"/>
      <c r="W105" s="106"/>
      <c r="X105" s="108"/>
      <c r="Y105" s="108"/>
      <c r="Z105" s="106"/>
      <c r="AA105" s="106"/>
      <c r="AB105" s="106"/>
      <c r="AC105" s="106"/>
      <c r="AD105" s="106"/>
    </row>
    <row r="106" spans="19:30">
      <c r="S106" s="106"/>
      <c r="T106" s="106"/>
      <c r="U106" s="106"/>
      <c r="V106" s="106"/>
      <c r="W106" s="106"/>
      <c r="X106" s="108"/>
      <c r="Y106" s="108"/>
      <c r="Z106" s="106"/>
      <c r="AA106" s="106"/>
      <c r="AB106" s="106"/>
      <c r="AC106" s="106"/>
      <c r="AD106" s="106"/>
    </row>
    <row r="107" spans="19:30">
      <c r="S107" s="106"/>
      <c r="T107" s="106"/>
      <c r="U107" s="106"/>
      <c r="V107" s="106"/>
      <c r="W107" s="106"/>
      <c r="X107" s="108"/>
      <c r="Y107" s="108"/>
      <c r="Z107" s="106"/>
      <c r="AA107" s="106"/>
      <c r="AB107" s="106"/>
      <c r="AC107" s="106"/>
      <c r="AD107" s="106"/>
    </row>
    <row r="108" spans="19:30">
      <c r="S108" s="106"/>
      <c r="T108" s="106"/>
      <c r="U108" s="106"/>
      <c r="V108" s="106"/>
      <c r="W108" s="106"/>
      <c r="X108" s="108"/>
      <c r="Y108" s="108"/>
      <c r="Z108" s="106"/>
      <c r="AA108" s="106"/>
      <c r="AB108" s="106"/>
      <c r="AC108" s="106"/>
      <c r="AD108" s="106"/>
    </row>
    <row r="109" spans="19:30">
      <c r="S109" s="106"/>
      <c r="T109" s="106"/>
      <c r="U109" s="106"/>
      <c r="V109" s="106"/>
      <c r="W109" s="106"/>
      <c r="X109" s="108"/>
      <c r="Y109" s="108"/>
      <c r="Z109" s="106"/>
      <c r="AA109" s="106"/>
      <c r="AB109" s="106"/>
      <c r="AC109" s="106"/>
      <c r="AD109" s="106"/>
    </row>
    <row r="110" spans="19:30">
      <c r="S110" s="106"/>
      <c r="T110" s="106"/>
      <c r="U110" s="106"/>
      <c r="V110" s="106"/>
      <c r="W110" s="106"/>
      <c r="X110" s="108"/>
      <c r="Y110" s="108"/>
      <c r="Z110" s="106"/>
      <c r="AA110" s="106"/>
      <c r="AB110" s="106"/>
      <c r="AC110" s="106"/>
      <c r="AD110" s="106"/>
    </row>
    <row r="111" spans="19:30">
      <c r="S111" s="106"/>
      <c r="T111" s="106"/>
      <c r="U111" s="106"/>
      <c r="V111" s="106"/>
      <c r="W111" s="106"/>
      <c r="X111" s="108"/>
      <c r="Y111" s="108"/>
      <c r="Z111" s="106"/>
      <c r="AA111" s="106"/>
      <c r="AB111" s="106"/>
      <c r="AC111" s="106"/>
      <c r="AD111" s="106"/>
    </row>
    <row r="112" spans="19:30">
      <c r="S112" s="106"/>
      <c r="T112" s="106"/>
      <c r="U112" s="106"/>
      <c r="V112" s="106"/>
      <c r="W112" s="106"/>
      <c r="X112" s="108"/>
      <c r="Y112" s="108"/>
      <c r="Z112" s="106"/>
      <c r="AA112" s="106"/>
      <c r="AB112" s="106"/>
      <c r="AC112" s="106"/>
      <c r="AD112" s="106"/>
    </row>
    <row r="113" spans="19:30">
      <c r="S113" s="106"/>
      <c r="T113" s="106"/>
      <c r="U113" s="106"/>
      <c r="V113" s="106"/>
      <c r="W113" s="106"/>
      <c r="X113" s="108"/>
      <c r="Y113" s="108"/>
      <c r="Z113" s="106"/>
      <c r="AA113" s="106"/>
      <c r="AB113" s="106"/>
      <c r="AC113" s="106"/>
      <c r="AD113" s="106"/>
    </row>
    <row r="114" spans="19:30">
      <c r="S114" s="106"/>
      <c r="T114" s="106"/>
      <c r="U114" s="106"/>
      <c r="V114" s="106"/>
      <c r="W114" s="106"/>
      <c r="X114" s="108"/>
      <c r="Y114" s="108"/>
      <c r="Z114" s="106"/>
      <c r="AA114" s="106"/>
      <c r="AB114" s="106"/>
      <c r="AC114" s="106"/>
      <c r="AD114" s="106"/>
    </row>
    <row r="115" spans="19:30">
      <c r="S115" s="106"/>
      <c r="T115" s="106"/>
      <c r="U115" s="106"/>
      <c r="V115" s="106"/>
      <c r="W115" s="106"/>
      <c r="X115" s="108"/>
      <c r="Y115" s="108"/>
      <c r="Z115" s="106"/>
      <c r="AA115" s="106"/>
      <c r="AB115" s="106"/>
      <c r="AC115" s="106"/>
      <c r="AD115" s="106"/>
    </row>
    <row r="116" spans="19:30">
      <c r="S116" s="106"/>
      <c r="T116" s="106"/>
      <c r="U116" s="106"/>
      <c r="V116" s="106"/>
      <c r="W116" s="106"/>
      <c r="X116" s="108"/>
      <c r="Y116" s="108"/>
      <c r="Z116" s="106"/>
      <c r="AA116" s="106"/>
      <c r="AB116" s="106"/>
      <c r="AC116" s="106"/>
      <c r="AD116" s="106"/>
    </row>
    <row r="117" spans="19:30">
      <c r="S117" s="106"/>
      <c r="T117" s="106"/>
      <c r="U117" s="106"/>
      <c r="V117" s="106"/>
      <c r="W117" s="106"/>
      <c r="X117" s="108"/>
      <c r="Y117" s="108"/>
      <c r="Z117" s="106"/>
      <c r="AA117" s="106"/>
      <c r="AB117" s="106"/>
      <c r="AC117" s="106"/>
      <c r="AD117" s="106"/>
    </row>
    <row r="118" spans="19:30">
      <c r="S118" s="106"/>
      <c r="T118" s="106"/>
      <c r="U118" s="106"/>
      <c r="V118" s="106"/>
      <c r="W118" s="106"/>
      <c r="X118" s="108"/>
      <c r="Y118" s="108"/>
      <c r="Z118" s="106"/>
      <c r="AA118" s="106"/>
      <c r="AB118" s="106"/>
      <c r="AC118" s="106"/>
      <c r="AD118" s="106"/>
    </row>
    <row r="119" spans="19:30">
      <c r="S119" s="106"/>
      <c r="T119" s="106"/>
      <c r="U119" s="106"/>
      <c r="V119" s="106"/>
      <c r="W119" s="106"/>
      <c r="X119" s="108"/>
      <c r="Y119" s="108"/>
      <c r="Z119" s="106"/>
      <c r="AA119" s="106"/>
      <c r="AB119" s="106"/>
      <c r="AC119" s="106"/>
      <c r="AD119" s="106"/>
    </row>
    <row r="120" spans="19:30">
      <c r="S120" s="106"/>
      <c r="T120" s="106"/>
      <c r="U120" s="106"/>
      <c r="V120" s="106"/>
      <c r="W120" s="106"/>
      <c r="X120" s="108"/>
      <c r="Y120" s="108"/>
      <c r="Z120" s="106"/>
      <c r="AA120" s="106"/>
      <c r="AB120" s="106"/>
      <c r="AC120" s="106"/>
      <c r="AD120" s="106"/>
    </row>
    <row r="121" spans="19:30">
      <c r="S121" s="106"/>
      <c r="T121" s="106"/>
      <c r="U121" s="106"/>
      <c r="V121" s="106"/>
      <c r="W121" s="106"/>
      <c r="X121" s="108"/>
      <c r="Y121" s="108"/>
      <c r="Z121" s="106"/>
      <c r="AA121" s="106"/>
      <c r="AB121" s="106"/>
      <c r="AC121" s="106"/>
      <c r="AD121" s="106"/>
    </row>
    <row r="122" spans="19:30">
      <c r="S122" s="106"/>
      <c r="T122" s="106"/>
      <c r="U122" s="106"/>
      <c r="V122" s="106"/>
      <c r="W122" s="106"/>
      <c r="X122" s="108"/>
      <c r="Y122" s="108"/>
      <c r="Z122" s="106"/>
      <c r="AA122" s="106"/>
      <c r="AB122" s="106"/>
      <c r="AC122" s="106"/>
      <c r="AD122" s="106"/>
    </row>
    <row r="123" spans="19:30">
      <c r="S123" s="106"/>
      <c r="T123" s="106"/>
      <c r="U123" s="106"/>
      <c r="V123" s="106"/>
      <c r="W123" s="106"/>
      <c r="X123" s="108"/>
      <c r="Y123" s="108"/>
      <c r="Z123" s="106"/>
      <c r="AA123" s="106"/>
      <c r="AB123" s="106"/>
      <c r="AC123" s="106"/>
      <c r="AD123" s="106"/>
    </row>
    <row r="124" spans="19:30">
      <c r="S124" s="108"/>
      <c r="T124" s="106"/>
      <c r="U124" s="106"/>
      <c r="V124" s="106"/>
      <c r="W124" s="106"/>
      <c r="X124" s="111"/>
      <c r="Y124" s="108"/>
      <c r="Z124" s="106"/>
      <c r="AA124" s="106"/>
      <c r="AB124" s="106"/>
      <c r="AC124" s="106"/>
      <c r="AD124" s="106"/>
    </row>
    <row r="125" spans="19:30">
      <c r="S125" s="108"/>
      <c r="T125" s="106"/>
      <c r="U125" s="106"/>
      <c r="V125" s="106"/>
      <c r="W125" s="106"/>
      <c r="X125" s="111"/>
      <c r="Y125" s="108"/>
      <c r="Z125" s="106"/>
      <c r="AA125" s="106"/>
      <c r="AB125" s="106"/>
      <c r="AC125" s="106"/>
      <c r="AD125" s="106"/>
    </row>
    <row r="126" spans="19:30">
      <c r="S126" s="108"/>
      <c r="T126" s="106"/>
      <c r="U126" s="106"/>
      <c r="V126" s="106"/>
      <c r="W126" s="106"/>
      <c r="X126" s="111"/>
      <c r="Y126" s="108"/>
      <c r="Z126" s="106"/>
      <c r="AA126" s="106"/>
      <c r="AB126" s="106"/>
      <c r="AC126" s="106"/>
      <c r="AD126" s="106"/>
    </row>
    <row r="127" spans="19:30">
      <c r="T127" s="106"/>
      <c r="U127" s="106"/>
      <c r="V127" s="106"/>
      <c r="W127" s="106"/>
      <c r="Z127" s="106"/>
      <c r="AA127" s="106"/>
      <c r="AB127" s="106"/>
      <c r="AC127" s="106"/>
      <c r="AD127" s="106"/>
    </row>
    <row r="128" spans="19:30">
      <c r="U128" s="106"/>
      <c r="V128" s="106"/>
    </row>
  </sheetData>
  <sheetProtection algorithmName="SHA-512" hashValue="7ND0LHoG+Mnb1uc5m8GAkSDsJlOdUhzBOSTNpvBJVWQC0ziZmmcntYfSgAisf7SUcmrEjSFAoJofjegeakICOw==" saltValue="Z6I4Kw69cwyetCDV+aDF+w==" spinCount="100000" sheet="1" objects="1" scenarios="1" selectLockedCells="1"/>
  <protectedRanges>
    <protectedRange sqref="V17:V21" name="Range1"/>
  </protectedRanges>
  <mergeCells count="4">
    <mergeCell ref="U2:V2"/>
    <mergeCell ref="U3:V10"/>
    <mergeCell ref="U11:V11"/>
    <mergeCell ref="U12:V12"/>
  </mergeCells>
  <conditionalFormatting sqref="W16:W17">
    <cfRule type="notContainsBlanks" dxfId="5" priority="2">
      <formula>LEN(TRIM(W16))&gt;0</formula>
    </cfRule>
  </conditionalFormatting>
  <conditionalFormatting sqref="W19:W20">
    <cfRule type="notContainsBlanks" dxfId="4" priority="1">
      <formula>LEN(TRIM(W19))&gt;0</formula>
    </cfRule>
  </conditionalFormatting>
  <conditionalFormatting sqref="W2:X6 X7 W8:X12 W13:W14">
    <cfRule type="notContainsBlanks" dxfId="3" priority="3">
      <formula>LEN(TRIM(W2))&gt;0</formula>
    </cfRule>
  </conditionalFormatting>
  <dataValidations count="5">
    <dataValidation type="decimal" allowBlank="1" showInputMessage="1" showErrorMessage="1" errorTitle="Peso em Quilogramas" error="Peso deve ser em Quilogramas" sqref="V19" xr:uid="{ECA0A879-5000-4F3C-9EF1-5360E13CCE68}">
      <formula1>0</formula1>
      <formula2>250</formula2>
    </dataValidation>
    <dataValidation type="whole" allowBlank="1" showInputMessage="1" showErrorMessage="1" errorTitle="Altura em centimetros" error="Insira a altura em centímetros" promptTitle="Altura em centimetros" sqref="V20" xr:uid="{9F31936C-099A-4A65-85FA-88D331D2C78B}">
      <formula1>3</formula1>
      <formula2>260</formula2>
    </dataValidation>
    <dataValidation type="list" allowBlank="1" showInputMessage="1" showErrorMessage="1" errorTitle="Entrada inválida" promptTitle="Insira somente uma das opções" sqref="V21" xr:uid="{3A030ED0-2FB6-4ECF-8CD3-2193E99E785A}">
      <formula1>$H$4:$H$7</formula1>
    </dataValidation>
    <dataValidation type="whole" allowBlank="1" showInputMessage="1" showErrorMessage="1" errorTitle="Idade inválida" error="Estudos feitos com pacientes até _x000a_99,99 anos." promptTitle="Idade do paciente" sqref="V18" xr:uid="{DDC0DC4A-DDCD-482E-90A2-3B1C0B05A999}">
      <formula1>0</formula1>
      <formula2>99</formula2>
    </dataValidation>
    <dataValidation type="whole" allowBlank="1" showInputMessage="1" showErrorMessage="1" errorTitle="Erro" error="Semana gestacional invalida!" sqref="V17" xr:uid="{AB93A795-364B-4875-B807-FFEFF1CF4F1A}">
      <formula1>1</formula1>
      <formula2>45</formula2>
    </dataValidation>
  </dataValidations>
  <pageMargins left="0.7" right="0.7" top="0.75" bottom="0.75" header="0.3" footer="0.3"/>
  <pageSetup paperSize="9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13811-0865-F041-A431-973138C7CC40}">
  <sheetPr codeName="Sheet11">
    <tabColor theme="0"/>
  </sheetPr>
  <dimension ref="A1:AC128"/>
  <sheetViews>
    <sheetView tabSelected="1" topLeftCell="S9" zoomScaleNormal="100" workbookViewId="0">
      <selection activeCell="U17" sqref="U17"/>
    </sheetView>
  </sheetViews>
  <sheetFormatPr defaultColWidth="11.44140625" defaultRowHeight="14.4"/>
  <cols>
    <col min="1" max="1" width="17.109375" hidden="1" customWidth="1"/>
    <col min="2" max="2" width="81" hidden="1" customWidth="1"/>
    <col min="3" max="3" width="66.109375" hidden="1" customWidth="1"/>
    <col min="4" max="4" width="60.44140625" hidden="1" customWidth="1"/>
    <col min="5" max="5" width="12.44140625" hidden="1" customWidth="1"/>
    <col min="6" max="7" width="8.6640625" hidden="1" customWidth="1"/>
    <col min="8" max="8" width="14.109375" hidden="1" customWidth="1"/>
    <col min="9" max="9" width="26.77734375" hidden="1" customWidth="1"/>
    <col min="10" max="12" width="11.44140625" hidden="1" customWidth="1"/>
    <col min="13" max="13" width="13.33203125" hidden="1" customWidth="1"/>
    <col min="14" max="15" width="11.44140625" hidden="1" customWidth="1"/>
    <col min="16" max="16" width="69.44140625" hidden="1" customWidth="1"/>
    <col min="17" max="17" width="72.33203125" hidden="1" customWidth="1"/>
    <col min="19" max="19" width="19.109375" bestFit="1" customWidth="1"/>
    <col min="20" max="20" width="37.77734375" bestFit="1" customWidth="1"/>
    <col min="21" max="21" width="99.44140625" customWidth="1"/>
    <col min="22" max="22" width="62.33203125" bestFit="1" customWidth="1"/>
    <col min="23" max="23" width="11.44140625" bestFit="1" customWidth="1"/>
  </cols>
  <sheetData>
    <row r="1" spans="1:29">
      <c r="R1" s="106"/>
      <c r="S1" s="106"/>
      <c r="T1" s="106"/>
      <c r="U1" s="106"/>
      <c r="V1" s="106"/>
      <c r="W1" s="109"/>
      <c r="X1" s="108"/>
      <c r="Y1" s="106"/>
      <c r="Z1" s="106"/>
      <c r="AA1" s="106"/>
      <c r="AB1" s="106"/>
      <c r="AC1" s="106"/>
    </row>
    <row r="2" spans="1:29">
      <c r="D2" s="9"/>
      <c r="E2" s="9"/>
      <c r="F2" s="9"/>
      <c r="G2" s="9"/>
      <c r="H2" s="9"/>
      <c r="I2" s="9"/>
      <c r="J2" s="9"/>
      <c r="K2" s="9"/>
      <c r="L2" s="9"/>
      <c r="M2" s="9"/>
      <c r="N2" s="9"/>
      <c r="R2" s="106"/>
      <c r="S2" s="106"/>
      <c r="T2" s="223" t="s">
        <v>96</v>
      </c>
      <c r="U2" s="224"/>
      <c r="V2" s="106"/>
      <c r="W2" s="106"/>
      <c r="X2" s="108"/>
      <c r="Y2" s="106"/>
      <c r="Z2" s="106"/>
      <c r="AA2" s="106"/>
      <c r="AB2" s="106"/>
      <c r="AC2" s="106"/>
    </row>
    <row r="3" spans="1:29" ht="15" customHeight="1">
      <c r="A3" s="97" t="s">
        <v>97</v>
      </c>
      <c r="B3" s="97" t="s">
        <v>98</v>
      </c>
      <c r="C3" s="97" t="s">
        <v>99</v>
      </c>
      <c r="D3" s="97" t="s">
        <v>100</v>
      </c>
      <c r="E3" s="97" t="s">
        <v>101</v>
      </c>
      <c r="F3" s="97" t="s">
        <v>102</v>
      </c>
      <c r="G3" s="97" t="s">
        <v>103</v>
      </c>
      <c r="H3" s="97" t="s">
        <v>104</v>
      </c>
      <c r="I3" s="97" t="s">
        <v>105</v>
      </c>
      <c r="J3" s="97" t="s">
        <v>106</v>
      </c>
      <c r="K3" s="97" t="s">
        <v>107</v>
      </c>
      <c r="L3" s="97" t="s">
        <v>108</v>
      </c>
      <c r="M3" s="97" t="s">
        <v>109</v>
      </c>
      <c r="N3" s="97" t="s">
        <v>111</v>
      </c>
      <c r="O3" s="97" t="s">
        <v>112</v>
      </c>
      <c r="P3" s="97" t="s">
        <v>113</v>
      </c>
      <c r="Q3" s="97" t="s">
        <v>114</v>
      </c>
      <c r="R3" s="106"/>
      <c r="S3" s="106"/>
      <c r="T3" s="225" t="s">
        <v>115</v>
      </c>
      <c r="U3" s="226"/>
      <c r="V3" s="106"/>
      <c r="W3" s="106"/>
      <c r="X3" s="108"/>
      <c r="Y3" s="106"/>
      <c r="Z3" s="106"/>
      <c r="AA3" s="106"/>
      <c r="AB3" s="106"/>
      <c r="AC3" s="106"/>
    </row>
    <row r="4" spans="1:29" ht="15" customHeight="1">
      <c r="A4" s="9" t="s">
        <v>116</v>
      </c>
      <c r="B4" s="9" t="str">
        <f>_xlfn.CONCAT("Sexo:",E4, "_Gestante:",F4, "_Idade:",G4,"_Atividade:",H4)</f>
        <v>Sexo:m_Gestante:n_Idade:19≤_Atividade:Inativo</v>
      </c>
      <c r="C4" s="99" t="s">
        <v>117</v>
      </c>
      <c r="D4" s="96" t="s">
        <v>118</v>
      </c>
      <c r="E4" s="105" t="s">
        <v>119</v>
      </c>
      <c r="F4" s="105" t="s">
        <v>120</v>
      </c>
      <c r="G4" s="105" t="s">
        <v>121</v>
      </c>
      <c r="H4" s="9" t="s">
        <v>122</v>
      </c>
      <c r="I4" s="9">
        <v>753.07</v>
      </c>
      <c r="J4" s="9">
        <v>-10.83</v>
      </c>
      <c r="K4" s="9">
        <v>6.5</v>
      </c>
      <c r="L4" s="98">
        <v>14.1</v>
      </c>
      <c r="M4" s="9">
        <v>0</v>
      </c>
      <c r="N4" s="9">
        <v>339</v>
      </c>
      <c r="O4">
        <f t="shared" ref="O4:O31" si="0">I4+(J4*$U$15)+(K4*$U$17)+(L4*$U$16)</f>
        <v>1598.94</v>
      </c>
      <c r="P4" s="9" t="str">
        <f>_xlfn.CONCAT(I4, IF(J4&lt;0, " - ", " + "), "(", IF(J4&lt;0,J4*-1,J4), "*idade)", IF(K4&lt;0, " - ", " + "), "(", IF(K4&lt;0,K4*-1,K4), "*altura)", IF(L4&lt;0, " - ", " + "), "(", IF(L4&lt;0,L4*-1,L4), "*peso)", )</f>
        <v>753,07 - (10,83*idade) + (6,5*altura) + (14,1*peso)</v>
      </c>
      <c r="Q4" s="99" t="s">
        <v>123</v>
      </c>
      <c r="R4" s="106"/>
      <c r="S4" s="106"/>
      <c r="T4" s="227"/>
      <c r="U4" s="228"/>
      <c r="V4" s="106"/>
      <c r="W4" s="106"/>
      <c r="X4" s="108"/>
      <c r="Y4" s="106"/>
      <c r="Z4" s="106"/>
      <c r="AA4" s="106"/>
      <c r="AB4" s="106"/>
      <c r="AC4" s="106"/>
    </row>
    <row r="5" spans="1:29" ht="15" customHeight="1">
      <c r="A5" s="9" t="s">
        <v>116</v>
      </c>
      <c r="B5" s="9" t="str">
        <f t="shared" ref="B5:B35" si="1">_xlfn.CONCAT("Sexo:",E5, "_Gestante:",F5, "_Idade:",G5,"_Atividade:",H5)</f>
        <v>Sexo:m_Gestante:n_Idade:19≤_Atividade:Pouco ativo</v>
      </c>
      <c r="C5" s="99" t="s">
        <v>124</v>
      </c>
      <c r="D5" s="96" t="s">
        <v>118</v>
      </c>
      <c r="E5" s="105" t="s">
        <v>119</v>
      </c>
      <c r="F5" s="105" t="s">
        <v>120</v>
      </c>
      <c r="G5" s="105" t="s">
        <v>121</v>
      </c>
      <c r="H5" s="9" t="s">
        <v>125</v>
      </c>
      <c r="I5" s="9">
        <v>581.47</v>
      </c>
      <c r="J5" s="9">
        <v>-10.83</v>
      </c>
      <c r="K5" s="9">
        <v>8.3000000000000007</v>
      </c>
      <c r="L5" s="9">
        <v>14.94</v>
      </c>
      <c r="M5" s="9">
        <v>0</v>
      </c>
      <c r="N5" s="9">
        <v>339</v>
      </c>
      <c r="O5">
        <f t="shared" si="0"/>
        <v>1741.752</v>
      </c>
      <c r="P5" s="9" t="str">
        <f t="shared" ref="P5:P31" si="2">_xlfn.CONCAT(I5, IF(J5&lt;0, " - ", " + "), "(", IF(J5&lt;0,J5*-1,J5), "*idade)", IF(K5&lt;0, " - ", " + "), "(", IF(K5&lt;0,K5*-1,K5), "*altura)", IF(L5&lt;0, " - ", " + "), "(", IF(L5&lt;0,L5*-1,L5), "*peso)", )</f>
        <v>581,47 - (10,83*idade) + (8,3*altura) + (14,94*peso)</v>
      </c>
      <c r="Q5" s="99" t="s">
        <v>126</v>
      </c>
      <c r="R5" s="106"/>
      <c r="S5" s="106"/>
      <c r="T5" s="227"/>
      <c r="U5" s="228"/>
      <c r="V5" s="106"/>
      <c r="W5" s="106"/>
      <c r="X5" s="108"/>
      <c r="Y5" s="106"/>
      <c r="Z5" s="106"/>
      <c r="AA5" s="106"/>
      <c r="AB5" s="106"/>
      <c r="AC5" s="106"/>
    </row>
    <row r="6" spans="1:29" ht="15" customHeight="1">
      <c r="A6" s="9" t="s">
        <v>116</v>
      </c>
      <c r="B6" s="9" t="str">
        <f t="shared" si="1"/>
        <v>Sexo:m_Gestante:n_Idade:19≤_Atividade:Ativo</v>
      </c>
      <c r="C6" s="99" t="s">
        <v>127</v>
      </c>
      <c r="D6" s="96" t="s">
        <v>118</v>
      </c>
      <c r="E6" s="105" t="s">
        <v>119</v>
      </c>
      <c r="F6" s="105" t="s">
        <v>120</v>
      </c>
      <c r="G6" s="105" t="s">
        <v>121</v>
      </c>
      <c r="H6" s="9" t="s">
        <v>37</v>
      </c>
      <c r="I6" s="9">
        <v>1004.82</v>
      </c>
      <c r="J6" s="9">
        <v>-10.83</v>
      </c>
      <c r="K6" s="9">
        <v>6.52</v>
      </c>
      <c r="L6" s="9">
        <v>15.91</v>
      </c>
      <c r="M6" s="9">
        <v>0</v>
      </c>
      <c r="N6" s="9">
        <v>339</v>
      </c>
      <c r="O6">
        <f t="shared" si="0"/>
        <v>1933.953</v>
      </c>
      <c r="P6" s="9" t="str">
        <f t="shared" si="2"/>
        <v>1004,82 - (10,83*idade) + (6,52*altura) + (15,91*peso)</v>
      </c>
      <c r="Q6" s="99" t="s">
        <v>128</v>
      </c>
      <c r="R6" s="106"/>
      <c r="S6" s="106"/>
      <c r="T6" s="227"/>
      <c r="U6" s="228"/>
      <c r="V6" s="106"/>
      <c r="W6" s="106"/>
      <c r="X6" s="108"/>
      <c r="Y6" s="106"/>
      <c r="Z6" s="106"/>
      <c r="AA6" s="106"/>
      <c r="AB6" s="106"/>
      <c r="AC6" s="106"/>
    </row>
    <row r="7" spans="1:29" ht="15" customHeight="1">
      <c r="A7" s="9" t="s">
        <v>116</v>
      </c>
      <c r="B7" s="9" t="str">
        <f t="shared" si="1"/>
        <v>Sexo:m_Gestante:n_Idade:19≤_Atividade:Muito ativo</v>
      </c>
      <c r="C7" s="99" t="s">
        <v>129</v>
      </c>
      <c r="D7" s="96" t="s">
        <v>118</v>
      </c>
      <c r="E7" s="105" t="s">
        <v>119</v>
      </c>
      <c r="F7" s="105" t="s">
        <v>120</v>
      </c>
      <c r="G7" s="105" t="s">
        <v>121</v>
      </c>
      <c r="H7" s="9" t="s">
        <v>130</v>
      </c>
      <c r="I7" s="9">
        <v>-517.88</v>
      </c>
      <c r="J7" s="9">
        <v>-10.83</v>
      </c>
      <c r="K7" s="9">
        <v>15.61</v>
      </c>
      <c r="L7" s="9">
        <v>19.11</v>
      </c>
      <c r="M7" s="9">
        <v>0</v>
      </c>
      <c r="N7" s="9">
        <v>339</v>
      </c>
      <c r="O7">
        <f t="shared" si="0"/>
        <v>1952.873</v>
      </c>
      <c r="P7" s="9" t="str">
        <f t="shared" si="2"/>
        <v>-517,88 - (10,83*idade) + (15,61*altura) + (19,11*peso)</v>
      </c>
      <c r="Q7" s="99" t="s">
        <v>131</v>
      </c>
      <c r="R7" s="106"/>
      <c r="S7" s="106"/>
      <c r="T7" s="227"/>
      <c r="U7" s="228"/>
      <c r="W7" s="106"/>
      <c r="X7" s="108"/>
      <c r="Y7" s="106"/>
      <c r="Z7" s="106"/>
      <c r="AA7" s="106"/>
      <c r="AB7" s="106"/>
      <c r="AC7" s="106"/>
    </row>
    <row r="8" spans="1:29" ht="15" customHeight="1">
      <c r="A8" s="9" t="s">
        <v>116</v>
      </c>
      <c r="B8" s="9" t="str">
        <f t="shared" si="1"/>
        <v>Sexo:f_Gestante:n_Idade:19≤_Atividade:Inativo</v>
      </c>
      <c r="C8" s="99" t="s">
        <v>132</v>
      </c>
      <c r="D8" s="96" t="s">
        <v>133</v>
      </c>
      <c r="E8" s="105" t="s">
        <v>134</v>
      </c>
      <c r="F8" s="105" t="s">
        <v>120</v>
      </c>
      <c r="G8" s="105" t="s">
        <v>121</v>
      </c>
      <c r="H8" s="9" t="s">
        <v>122</v>
      </c>
      <c r="I8" s="9">
        <v>584.9</v>
      </c>
      <c r="J8" s="9">
        <v>-7.01</v>
      </c>
      <c r="K8" s="9">
        <v>5.72</v>
      </c>
      <c r="L8" s="9">
        <v>11.71</v>
      </c>
      <c r="M8" s="9">
        <v>0</v>
      </c>
      <c r="N8" s="9">
        <v>246</v>
      </c>
      <c r="O8">
        <f t="shared" si="0"/>
        <v>1479.8130000000001</v>
      </c>
      <c r="P8" s="9" t="str">
        <f t="shared" si="2"/>
        <v>584,9 - (7,01*idade) + (5,72*altura) + (11,71*peso)</v>
      </c>
      <c r="Q8" s="99" t="s">
        <v>135</v>
      </c>
      <c r="R8" s="106"/>
      <c r="S8" s="106"/>
      <c r="T8" s="227"/>
      <c r="U8" s="228"/>
      <c r="V8" s="106"/>
      <c r="W8" s="106"/>
      <c r="X8" s="108"/>
      <c r="Y8" s="106"/>
      <c r="Z8" s="106"/>
      <c r="AA8" s="106"/>
      <c r="AB8" s="106"/>
      <c r="AC8" s="106"/>
    </row>
    <row r="9" spans="1:29" ht="15" customHeight="1">
      <c r="A9" s="9" t="s">
        <v>116</v>
      </c>
      <c r="B9" s="9" t="str">
        <f t="shared" si="1"/>
        <v>Sexo:f_Gestante:n_Idade:19≤_Atividade:Pouco ativo</v>
      </c>
      <c r="C9" s="99" t="s">
        <v>136</v>
      </c>
      <c r="D9" s="96" t="s">
        <v>133</v>
      </c>
      <c r="E9" s="105" t="s">
        <v>134</v>
      </c>
      <c r="F9" s="105" t="s">
        <v>120</v>
      </c>
      <c r="G9" s="105" t="s">
        <v>121</v>
      </c>
      <c r="H9" s="9" t="s">
        <v>125</v>
      </c>
      <c r="I9" s="9">
        <v>575.77</v>
      </c>
      <c r="J9" s="9">
        <v>-7.01</v>
      </c>
      <c r="K9" s="9">
        <v>6.6</v>
      </c>
      <c r="L9" s="9">
        <v>12.14</v>
      </c>
      <c r="M9" s="9">
        <v>0</v>
      </c>
      <c r="N9" s="9">
        <v>246</v>
      </c>
      <c r="O9">
        <f t="shared" si="0"/>
        <v>1625.252</v>
      </c>
      <c r="P9" s="9" t="str">
        <f t="shared" si="2"/>
        <v>575,77 - (7,01*idade) + (6,6*altura) + (12,14*peso)</v>
      </c>
      <c r="Q9" s="99" t="s">
        <v>137</v>
      </c>
      <c r="R9" s="106"/>
      <c r="S9" s="106"/>
      <c r="T9" s="227"/>
      <c r="U9" s="228"/>
      <c r="V9" s="106"/>
      <c r="W9" s="106"/>
      <c r="X9" s="108"/>
      <c r="Y9" s="106"/>
      <c r="Z9" s="106"/>
      <c r="AA9" s="106"/>
      <c r="AB9" s="106"/>
      <c r="AC9" s="106"/>
    </row>
    <row r="10" spans="1:29" ht="12.75" customHeight="1">
      <c r="A10" s="9" t="s">
        <v>116</v>
      </c>
      <c r="B10" s="9" t="str">
        <f t="shared" si="1"/>
        <v>Sexo:f_Gestante:n_Idade:19≤_Atividade:Ativo</v>
      </c>
      <c r="C10" s="99" t="s">
        <v>138</v>
      </c>
      <c r="D10" s="96" t="s">
        <v>133</v>
      </c>
      <c r="E10" s="105" t="s">
        <v>134</v>
      </c>
      <c r="F10" s="105" t="s">
        <v>120</v>
      </c>
      <c r="G10" s="105" t="s">
        <v>121</v>
      </c>
      <c r="H10" s="9" t="s">
        <v>37</v>
      </c>
      <c r="I10" s="9">
        <v>710.25</v>
      </c>
      <c r="J10" s="9">
        <v>-7.01</v>
      </c>
      <c r="K10" s="9">
        <v>6.54</v>
      </c>
      <c r="L10" s="9">
        <v>12.34</v>
      </c>
      <c r="M10" s="9">
        <v>0</v>
      </c>
      <c r="N10" s="9">
        <v>246</v>
      </c>
      <c r="O10">
        <f t="shared" si="0"/>
        <v>1759.3519999999999</v>
      </c>
      <c r="P10" s="9" t="str">
        <f t="shared" si="2"/>
        <v>710,25 - (7,01*idade) + (6,54*altura) + (12,34*peso)</v>
      </c>
      <c r="Q10" s="99" t="s">
        <v>139</v>
      </c>
      <c r="R10" s="106"/>
      <c r="S10" s="106"/>
      <c r="T10" s="229"/>
      <c r="U10" s="230"/>
      <c r="V10" s="106"/>
      <c r="W10" s="106"/>
      <c r="X10" s="108"/>
      <c r="Y10" s="106"/>
      <c r="Z10" s="106"/>
      <c r="AA10" s="106"/>
      <c r="AB10" s="106"/>
      <c r="AC10" s="106"/>
    </row>
    <row r="11" spans="1:29" ht="36.6">
      <c r="A11" s="9" t="s">
        <v>116</v>
      </c>
      <c r="B11" s="9" t="str">
        <f t="shared" si="1"/>
        <v>Sexo:f_Gestante:n_Idade:19≤_Atividade:Muito ativo</v>
      </c>
      <c r="C11" s="99" t="s">
        <v>140</v>
      </c>
      <c r="D11" s="96" t="s">
        <v>133</v>
      </c>
      <c r="E11" s="105" t="s">
        <v>134</v>
      </c>
      <c r="F11" s="105" t="s">
        <v>120</v>
      </c>
      <c r="G11" s="105" t="s">
        <v>121</v>
      </c>
      <c r="H11" s="9" t="s">
        <v>130</v>
      </c>
      <c r="I11" s="9">
        <v>511.83</v>
      </c>
      <c r="J11" s="9">
        <v>-7.01</v>
      </c>
      <c r="K11" s="9">
        <v>9.07</v>
      </c>
      <c r="L11" s="9">
        <v>12.56</v>
      </c>
      <c r="M11" s="9">
        <v>0</v>
      </c>
      <c r="N11" s="9">
        <v>246</v>
      </c>
      <c r="O11">
        <f t="shared" si="0"/>
        <v>1960.2979999999998</v>
      </c>
      <c r="P11" s="9" t="str">
        <f t="shared" si="2"/>
        <v>511,83 - (7,01*idade) + (9,07*altura) + (12,56*peso)</v>
      </c>
      <c r="Q11" s="99" t="s">
        <v>141</v>
      </c>
      <c r="R11" s="106"/>
      <c r="S11" s="106"/>
      <c r="T11" s="231" t="s">
        <v>142</v>
      </c>
      <c r="U11" s="232"/>
      <c r="V11" s="106"/>
      <c r="W11" s="106"/>
      <c r="X11" s="108"/>
      <c r="Y11" s="106"/>
      <c r="Z11" s="106"/>
      <c r="AA11" s="106"/>
      <c r="AB11" s="106"/>
      <c r="AC11" s="106"/>
    </row>
    <row r="12" spans="1:29">
      <c r="A12" s="9" t="s">
        <v>116</v>
      </c>
      <c r="B12" s="9" t="str">
        <f t="shared" si="1"/>
        <v>Sexo:m_Gestante:n_Idade:3a18_Atividade:Inativo</v>
      </c>
      <c r="C12" s="99" t="s">
        <v>143</v>
      </c>
      <c r="D12" s="96" t="s">
        <v>144</v>
      </c>
      <c r="E12" s="105" t="s">
        <v>119</v>
      </c>
      <c r="F12" s="105" t="s">
        <v>120</v>
      </c>
      <c r="G12" s="105" t="s">
        <v>145</v>
      </c>
      <c r="H12" s="9" t="s">
        <v>122</v>
      </c>
      <c r="I12" s="9">
        <v>-447.51</v>
      </c>
      <c r="J12" s="9">
        <v>3.68</v>
      </c>
      <c r="K12" s="9">
        <v>13.01</v>
      </c>
      <c r="L12" s="9">
        <v>13.15</v>
      </c>
      <c r="M12" s="9">
        <v>0</v>
      </c>
      <c r="N12" s="9">
        <v>259</v>
      </c>
      <c r="O12">
        <f t="shared" si="0"/>
        <v>2403.5349999999999</v>
      </c>
      <c r="P12" s="9" t="str">
        <f t="shared" si="2"/>
        <v>-447,51 + (3,68*idade) + (13,01*altura) + (13,15*peso)</v>
      </c>
      <c r="Q12" s="99" t="s">
        <v>146</v>
      </c>
      <c r="R12" s="110"/>
      <c r="S12" s="106"/>
      <c r="T12" s="233" t="s">
        <v>147</v>
      </c>
      <c r="U12" s="233"/>
      <c r="V12" s="106"/>
      <c r="W12" s="106"/>
      <c r="X12" s="108"/>
      <c r="Y12" s="106"/>
      <c r="Z12" s="106"/>
      <c r="AA12" s="106"/>
      <c r="AB12" s="106"/>
      <c r="AC12" s="106"/>
    </row>
    <row r="13" spans="1:29">
      <c r="A13" s="9" t="s">
        <v>116</v>
      </c>
      <c r="B13" s="9" t="str">
        <f t="shared" si="1"/>
        <v>Sexo:m_Gestante:n_Idade:3a18_Atividade:Pouco ativo</v>
      </c>
      <c r="C13" s="99" t="s">
        <v>148</v>
      </c>
      <c r="D13" s="96" t="s">
        <v>144</v>
      </c>
      <c r="E13" s="105" t="s">
        <v>119</v>
      </c>
      <c r="F13" s="105" t="s">
        <v>120</v>
      </c>
      <c r="G13" s="105" t="s">
        <v>145</v>
      </c>
      <c r="H13" s="9" t="s">
        <v>125</v>
      </c>
      <c r="I13" s="9">
        <v>19.12</v>
      </c>
      <c r="J13" s="9">
        <v>3.68</v>
      </c>
      <c r="K13" s="9">
        <v>8.6199999999999992</v>
      </c>
      <c r="L13" s="9">
        <v>20.28</v>
      </c>
      <c r="M13" s="9">
        <v>0</v>
      </c>
      <c r="N13" s="9">
        <v>259</v>
      </c>
      <c r="O13">
        <f t="shared" si="0"/>
        <v>2509.9639999999999</v>
      </c>
      <c r="P13" s="9" t="str">
        <f t="shared" si="2"/>
        <v>19,12 + (3,68*idade) + (8,62*altura) + (20,28*peso)</v>
      </c>
      <c r="Q13" s="99" t="s">
        <v>149</v>
      </c>
      <c r="R13" s="106"/>
      <c r="S13" s="106"/>
      <c r="T13" s="106"/>
      <c r="U13" s="106"/>
      <c r="V13" s="106"/>
      <c r="W13" s="109"/>
      <c r="X13" s="108"/>
      <c r="Y13" s="106"/>
      <c r="Z13" s="106"/>
      <c r="AA13" s="106"/>
      <c r="AB13" s="106"/>
      <c r="AC13" s="106"/>
    </row>
    <row r="14" spans="1:29" ht="21">
      <c r="A14" s="9" t="s">
        <v>116</v>
      </c>
      <c r="B14" s="9" t="str">
        <f t="shared" si="1"/>
        <v>Sexo:m_Gestante:n_Idade:3a18_Atividade:Ativo</v>
      </c>
      <c r="C14" s="99" t="s">
        <v>150</v>
      </c>
      <c r="D14" s="96" t="s">
        <v>144</v>
      </c>
      <c r="E14" s="105" t="s">
        <v>119</v>
      </c>
      <c r="F14" s="105" t="s">
        <v>120</v>
      </c>
      <c r="G14" s="105" t="s">
        <v>145</v>
      </c>
      <c r="H14" s="9" t="s">
        <v>37</v>
      </c>
      <c r="I14" s="9">
        <v>-388.19</v>
      </c>
      <c r="J14" s="9">
        <v>3.68</v>
      </c>
      <c r="K14" s="9">
        <v>12.66</v>
      </c>
      <c r="L14" s="9">
        <v>20.46</v>
      </c>
      <c r="M14" s="9">
        <v>0</v>
      </c>
      <c r="N14" s="9">
        <v>259</v>
      </c>
      <c r="O14">
        <f t="shared" si="0"/>
        <v>2732.788</v>
      </c>
      <c r="P14" s="9" t="str">
        <f t="shared" si="2"/>
        <v>-388,19 + (3,68*idade) + (12,66*altura) + (20,46*peso)</v>
      </c>
      <c r="Q14" s="99" t="s">
        <v>151</v>
      </c>
      <c r="R14" s="106"/>
      <c r="S14" s="106"/>
      <c r="T14" s="118" t="s">
        <v>152</v>
      </c>
      <c r="U14" s="126" t="s">
        <v>134</v>
      </c>
      <c r="V14" s="106"/>
      <c r="W14" s="109"/>
      <c r="X14" s="108"/>
      <c r="Y14" s="106"/>
      <c r="Z14" s="106"/>
      <c r="AA14" s="106"/>
      <c r="AB14" s="106"/>
      <c r="AC14" s="106"/>
    </row>
    <row r="15" spans="1:29" ht="21">
      <c r="A15" s="9" t="s">
        <v>116</v>
      </c>
      <c r="B15" s="9" t="str">
        <f t="shared" si="1"/>
        <v>Sexo:m_Gestante:n_Idade:3a18_Atividade:Muito ativo</v>
      </c>
      <c r="C15" s="99" t="s">
        <v>154</v>
      </c>
      <c r="D15" s="96" t="s">
        <v>144</v>
      </c>
      <c r="E15" s="105" t="s">
        <v>119</v>
      </c>
      <c r="F15" s="105" t="s">
        <v>120</v>
      </c>
      <c r="G15" s="105" t="s">
        <v>145</v>
      </c>
      <c r="H15" s="9" t="s">
        <v>130</v>
      </c>
      <c r="I15" s="9">
        <v>-671.75</v>
      </c>
      <c r="J15" s="9">
        <v>3.68</v>
      </c>
      <c r="K15" s="9">
        <v>15.38</v>
      </c>
      <c r="L15" s="9">
        <v>23.25</v>
      </c>
      <c r="M15" s="9">
        <v>0</v>
      </c>
      <c r="N15" s="9">
        <v>259</v>
      </c>
      <c r="O15">
        <f t="shared" si="0"/>
        <v>2991.7049999999999</v>
      </c>
      <c r="P15" s="9" t="str">
        <f t="shared" si="2"/>
        <v>-671,75 + (3,68*idade) + (15,38*altura) + (23,25*peso)</v>
      </c>
      <c r="Q15" s="99" t="s">
        <v>155</v>
      </c>
      <c r="R15" s="106"/>
      <c r="S15" s="106"/>
      <c r="T15" s="118" t="s">
        <v>5</v>
      </c>
      <c r="U15" s="126">
        <v>72</v>
      </c>
      <c r="V15" s="107"/>
      <c r="W15" s="109"/>
      <c r="X15" s="108"/>
      <c r="Y15" s="106"/>
      <c r="Z15" s="106"/>
      <c r="AA15" s="106"/>
      <c r="AB15" s="106"/>
      <c r="AC15" s="106"/>
    </row>
    <row r="16" spans="1:29" ht="21">
      <c r="A16" s="9" t="s">
        <v>116</v>
      </c>
      <c r="B16" s="9" t="str">
        <f t="shared" si="1"/>
        <v>Sexo:f_Gestante:n_Idade:3a18_Atividade:Inativo</v>
      </c>
      <c r="C16" s="99" t="s">
        <v>158</v>
      </c>
      <c r="D16" s="96" t="s">
        <v>159</v>
      </c>
      <c r="E16" s="105" t="s">
        <v>134</v>
      </c>
      <c r="F16" s="105" t="s">
        <v>120</v>
      </c>
      <c r="G16" s="105" t="s">
        <v>145</v>
      </c>
      <c r="H16" s="9" t="s">
        <v>122</v>
      </c>
      <c r="I16" s="9">
        <v>55.59</v>
      </c>
      <c r="J16" s="9">
        <v>-22.25</v>
      </c>
      <c r="K16" s="9">
        <v>8.43</v>
      </c>
      <c r="L16" s="9">
        <v>17.07</v>
      </c>
      <c r="M16" s="9">
        <v>0</v>
      </c>
      <c r="N16" s="9">
        <v>237</v>
      </c>
      <c r="O16">
        <f t="shared" si="0"/>
        <v>508.01099999999985</v>
      </c>
      <c r="P16" s="9" t="str">
        <f t="shared" si="2"/>
        <v>55,59 - (22,25*idade) + (8,43*altura) + (17,07*peso)</v>
      </c>
      <c r="Q16" s="99" t="s">
        <v>160</v>
      </c>
      <c r="R16" s="106"/>
      <c r="S16" s="106"/>
      <c r="T16" s="118" t="s">
        <v>168</v>
      </c>
      <c r="U16" s="126">
        <v>44.3</v>
      </c>
      <c r="V16" s="106"/>
      <c r="W16" s="109"/>
      <c r="X16" s="108"/>
      <c r="Y16" s="106"/>
      <c r="Z16" s="106"/>
      <c r="AA16" s="106"/>
      <c r="AB16" s="106"/>
      <c r="AC16" s="106"/>
    </row>
    <row r="17" spans="1:29" ht="21">
      <c r="A17" s="9" t="s">
        <v>116</v>
      </c>
      <c r="B17" s="9" t="str">
        <f t="shared" si="1"/>
        <v>Sexo:f_Gestante:n_Idade:3a18_Atividade:Pouco ativo</v>
      </c>
      <c r="C17" s="99" t="s">
        <v>161</v>
      </c>
      <c r="D17" s="96" t="s">
        <v>159</v>
      </c>
      <c r="E17" s="105" t="s">
        <v>134</v>
      </c>
      <c r="F17" s="105" t="s">
        <v>120</v>
      </c>
      <c r="G17" s="105" t="s">
        <v>145</v>
      </c>
      <c r="H17" s="9" t="s">
        <v>125</v>
      </c>
      <c r="I17" s="9">
        <v>-297.54000000000002</v>
      </c>
      <c r="J17" s="9">
        <v>-22.25</v>
      </c>
      <c r="K17" s="9">
        <v>12.77</v>
      </c>
      <c r="L17" s="9">
        <v>14.73</v>
      </c>
      <c r="M17" s="9">
        <v>0</v>
      </c>
      <c r="N17" s="9">
        <v>237</v>
      </c>
      <c r="O17">
        <f t="shared" si="0"/>
        <v>719.57899999999995</v>
      </c>
      <c r="P17" s="9" t="str">
        <f t="shared" si="2"/>
        <v>-297,54 - (22,25*idade) + (12,77*altura) + (14,73*peso)</v>
      </c>
      <c r="Q17" s="99" t="s">
        <v>162</v>
      </c>
      <c r="R17" s="106"/>
      <c r="S17" s="106"/>
      <c r="T17" s="118" t="s">
        <v>173</v>
      </c>
      <c r="U17" s="126">
        <v>154</v>
      </c>
      <c r="V17" s="106"/>
      <c r="W17" s="109"/>
      <c r="X17" s="108"/>
      <c r="Y17" s="106"/>
      <c r="Z17" s="106"/>
      <c r="AA17" s="106"/>
      <c r="AB17" s="106"/>
      <c r="AC17" s="106"/>
    </row>
    <row r="18" spans="1:29" ht="21">
      <c r="A18" s="9" t="s">
        <v>116</v>
      </c>
      <c r="B18" s="9" t="str">
        <f t="shared" si="1"/>
        <v>Sexo:f_Gestante:n_Idade:3a18_Atividade:Ativo</v>
      </c>
      <c r="C18" s="99" t="s">
        <v>164</v>
      </c>
      <c r="D18" s="96" t="s">
        <v>159</v>
      </c>
      <c r="E18" s="105" t="s">
        <v>134</v>
      </c>
      <c r="F18" s="105" t="s">
        <v>120</v>
      </c>
      <c r="G18" s="105" t="s">
        <v>145</v>
      </c>
      <c r="H18" s="9" t="s">
        <v>37</v>
      </c>
      <c r="I18" s="9">
        <v>-189.55</v>
      </c>
      <c r="J18" s="9">
        <v>-22.25</v>
      </c>
      <c r="K18" s="9">
        <v>11.74</v>
      </c>
      <c r="L18" s="9">
        <v>18.34</v>
      </c>
      <c r="M18" s="9">
        <v>0</v>
      </c>
      <c r="N18" s="9">
        <v>237</v>
      </c>
      <c r="O18">
        <f t="shared" si="0"/>
        <v>828.87200000000007</v>
      </c>
      <c r="P18" s="9" t="str">
        <f t="shared" si="2"/>
        <v>-189,55 - (22,25*idade) + (11,74*altura) + (18,34*peso)</v>
      </c>
      <c r="Q18" s="99" t="s">
        <v>165</v>
      </c>
      <c r="R18" s="106"/>
      <c r="S18" s="106"/>
      <c r="T18" s="118" t="s">
        <v>175</v>
      </c>
      <c r="U18" s="126" t="s">
        <v>125</v>
      </c>
      <c r="V18" s="106"/>
      <c r="W18" s="109"/>
      <c r="X18" s="108"/>
      <c r="Y18" s="106"/>
      <c r="Z18" s="106"/>
      <c r="AA18" s="106"/>
      <c r="AB18" s="106"/>
      <c r="AC18" s="106"/>
    </row>
    <row r="19" spans="1:29" ht="21">
      <c r="A19" s="9" t="s">
        <v>116</v>
      </c>
      <c r="B19" s="9" t="str">
        <f t="shared" si="1"/>
        <v>Sexo:f_Gestante:n_Idade:3a18_Atividade:Muito ativo</v>
      </c>
      <c r="C19" s="99" t="s">
        <v>166</v>
      </c>
      <c r="D19" s="96" t="s">
        <v>159</v>
      </c>
      <c r="E19" s="105" t="s">
        <v>134</v>
      </c>
      <c r="F19" s="105" t="s">
        <v>120</v>
      </c>
      <c r="G19" s="105" t="s">
        <v>145</v>
      </c>
      <c r="H19" s="9" t="s">
        <v>130</v>
      </c>
      <c r="I19" s="9">
        <v>-709.59</v>
      </c>
      <c r="J19" s="9">
        <v>-22.25</v>
      </c>
      <c r="K19" s="9">
        <v>18.22</v>
      </c>
      <c r="L19" s="9">
        <v>14.25</v>
      </c>
      <c r="M19" s="9">
        <v>0</v>
      </c>
      <c r="N19" s="9">
        <v>237</v>
      </c>
      <c r="O19">
        <f t="shared" si="0"/>
        <v>1125.5649999999996</v>
      </c>
      <c r="P19" s="9" t="str">
        <f t="shared" si="2"/>
        <v>-709,59 - (22,25*idade) + (18,22*altura) + (14,25*peso)</v>
      </c>
      <c r="Q19" s="99" t="s">
        <v>167</v>
      </c>
      <c r="R19" s="106"/>
      <c r="S19" s="106"/>
      <c r="T19" s="120" t="s">
        <v>178</v>
      </c>
      <c r="U19" s="121" t="str" cm="1">
        <f t="array" ref="U19">IF(ISNUMBER($U$15),_xlfn.SWITCH(TRUE, 19&lt;=$U$15,"19≤",    3&lt;=$U$15, "3a18",     0&lt;=$U$15, "0a2"),"Insira um número válido na idade")</f>
        <v>19≤</v>
      </c>
      <c r="V19" s="106"/>
      <c r="W19" s="106"/>
      <c r="X19" s="108"/>
      <c r="Y19" s="106"/>
      <c r="Z19" s="106"/>
      <c r="AA19" s="106"/>
      <c r="AB19" s="106"/>
      <c r="AC19" s="106"/>
    </row>
    <row r="20" spans="1:29" ht="21">
      <c r="A20" s="9" t="s">
        <v>116</v>
      </c>
      <c r="B20" s="9" t="str">
        <f t="shared" si="1"/>
        <v>Sexo:m_Gestante:n_Idade:0a2_Atividade:Inativo</v>
      </c>
      <c r="C20" s="99" t="s">
        <v>169</v>
      </c>
      <c r="D20" s="96" t="s">
        <v>170</v>
      </c>
      <c r="E20" s="105" t="s">
        <v>119</v>
      </c>
      <c r="F20" s="105" t="s">
        <v>120</v>
      </c>
      <c r="G20" s="105" t="s">
        <v>171</v>
      </c>
      <c r="H20" s="9" t="s">
        <v>122</v>
      </c>
      <c r="I20" s="9">
        <v>-716.45</v>
      </c>
      <c r="J20" s="9">
        <v>-1</v>
      </c>
      <c r="K20" s="9">
        <v>17.82</v>
      </c>
      <c r="L20" s="9">
        <v>15.06</v>
      </c>
      <c r="M20" s="9">
        <v>0</v>
      </c>
      <c r="N20" s="9">
        <v>104</v>
      </c>
      <c r="O20">
        <f t="shared" si="0"/>
        <v>2622.9880000000003</v>
      </c>
      <c r="P20" s="9" t="str">
        <f t="shared" si="2"/>
        <v>-716,45 - (1*idade) + (17,82*altura) + (15,06*peso)</v>
      </c>
      <c r="Q20" s="99" t="s">
        <v>172</v>
      </c>
      <c r="R20" s="106"/>
      <c r="S20" s="106"/>
      <c r="T20" s="120" t="s">
        <v>182</v>
      </c>
      <c r="U20" s="122">
        <f>IFERROR($U$16/POWER($U$17/100,2), "ERRO GRAVE NO IMC")</f>
        <v>18.679372575476471</v>
      </c>
      <c r="V20" s="106"/>
      <c r="W20" s="106"/>
      <c r="X20" s="108"/>
      <c r="Y20" s="106"/>
      <c r="Z20" s="106"/>
      <c r="AA20" s="106"/>
      <c r="AB20" s="106"/>
      <c r="AC20" s="106"/>
    </row>
    <row r="21" spans="1:29" ht="21" hidden="1">
      <c r="A21" s="9" t="s">
        <v>116</v>
      </c>
      <c r="B21" s="9" t="str">
        <f t="shared" si="1"/>
        <v>Sexo:m_Gestante:n_Idade:0a2_Atividade:Pouco ativo</v>
      </c>
      <c r="C21" s="99" t="s">
        <v>174</v>
      </c>
      <c r="D21" s="96" t="s">
        <v>170</v>
      </c>
      <c r="E21" s="105" t="s">
        <v>119</v>
      </c>
      <c r="F21" s="105" t="s">
        <v>120</v>
      </c>
      <c r="G21" s="105" t="s">
        <v>171</v>
      </c>
      <c r="H21" s="9" t="s">
        <v>125</v>
      </c>
      <c r="I21" s="9">
        <v>-716.45</v>
      </c>
      <c r="J21" s="9">
        <v>-1</v>
      </c>
      <c r="K21" s="9">
        <v>17.82</v>
      </c>
      <c r="L21" s="9">
        <v>15.06</v>
      </c>
      <c r="M21" s="9">
        <v>0</v>
      </c>
      <c r="N21" s="9">
        <v>104</v>
      </c>
      <c r="O21">
        <f t="shared" si="0"/>
        <v>2622.9880000000003</v>
      </c>
      <c r="P21" s="9" t="str">
        <f t="shared" si="2"/>
        <v>-716,45 - (1*idade) + (17,82*altura) + (15,06*peso)</v>
      </c>
      <c r="Q21" s="99" t="s">
        <v>172</v>
      </c>
      <c r="R21" s="106"/>
      <c r="S21" s="106"/>
      <c r="T21" s="119"/>
      <c r="U21" s="113"/>
      <c r="V21" s="106"/>
      <c r="W21" s="106"/>
      <c r="X21" s="108"/>
      <c r="Y21" s="106"/>
      <c r="Z21" s="106"/>
      <c r="AA21" s="106"/>
      <c r="AB21" s="106"/>
      <c r="AC21" s="106"/>
    </row>
    <row r="22" spans="1:29" ht="21" hidden="1">
      <c r="A22" s="9" t="s">
        <v>116</v>
      </c>
      <c r="B22" s="9" t="str">
        <f t="shared" si="1"/>
        <v>Sexo:m_Gestante:n_Idade:0a2_Atividade:Ativo</v>
      </c>
      <c r="C22" s="99" t="s">
        <v>176</v>
      </c>
      <c r="D22" s="96" t="s">
        <v>170</v>
      </c>
      <c r="E22" s="105" t="s">
        <v>119</v>
      </c>
      <c r="F22" s="105" t="s">
        <v>120</v>
      </c>
      <c r="G22" s="105" t="s">
        <v>171</v>
      </c>
      <c r="H22" s="9" t="s">
        <v>37</v>
      </c>
      <c r="I22" s="9">
        <v>-716.45</v>
      </c>
      <c r="J22" s="9">
        <v>-1</v>
      </c>
      <c r="K22" s="9">
        <v>17.82</v>
      </c>
      <c r="L22" s="9">
        <v>15.06</v>
      </c>
      <c r="M22" s="9">
        <v>0</v>
      </c>
      <c r="N22" s="9">
        <v>104</v>
      </c>
      <c r="O22">
        <f t="shared" si="0"/>
        <v>2622.9880000000003</v>
      </c>
      <c r="P22" s="9" t="str">
        <f t="shared" si="2"/>
        <v>-716,45 - (1*idade) + (17,82*altura) + (15,06*peso)</v>
      </c>
      <c r="Q22" s="99" t="s">
        <v>172</v>
      </c>
      <c r="R22" s="106"/>
      <c r="S22" s="106"/>
      <c r="T22" s="118" t="s">
        <v>227</v>
      </c>
      <c r="U22" s="114">
        <v>28</v>
      </c>
      <c r="V22" s="106"/>
      <c r="W22" s="106"/>
      <c r="X22" s="108"/>
      <c r="Y22" s="106"/>
      <c r="Z22" s="106"/>
      <c r="AA22" s="106"/>
      <c r="AB22" s="106"/>
      <c r="AC22" s="106"/>
    </row>
    <row r="23" spans="1:29" ht="21" hidden="1">
      <c r="A23" s="9" t="s">
        <v>116</v>
      </c>
      <c r="B23" s="9" t="str">
        <f t="shared" si="1"/>
        <v>Sexo:m_Gestante:n_Idade:0a2_Atividade:Muito ativo</v>
      </c>
      <c r="C23" s="99" t="s">
        <v>177</v>
      </c>
      <c r="D23" s="96" t="s">
        <v>170</v>
      </c>
      <c r="E23" s="105" t="s">
        <v>119</v>
      </c>
      <c r="F23" s="105" t="s">
        <v>120</v>
      </c>
      <c r="G23" s="105" t="s">
        <v>171</v>
      </c>
      <c r="H23" s="9" t="s">
        <v>130</v>
      </c>
      <c r="I23" s="9">
        <v>-716.45</v>
      </c>
      <c r="J23" s="9">
        <v>-1</v>
      </c>
      <c r="K23" s="9">
        <v>17.82</v>
      </c>
      <c r="L23" s="9">
        <v>15.06</v>
      </c>
      <c r="M23" s="9">
        <v>0</v>
      </c>
      <c r="N23" s="9">
        <v>104</v>
      </c>
      <c r="O23">
        <f t="shared" si="0"/>
        <v>2622.9880000000003</v>
      </c>
      <c r="P23" s="9" t="str">
        <f t="shared" si="2"/>
        <v>-716,45 - (1*idade) + (17,82*altura) + (15,06*peso)</v>
      </c>
      <c r="Q23" s="99" t="s">
        <v>172</v>
      </c>
      <c r="R23" s="106"/>
      <c r="S23" s="106"/>
      <c r="T23" s="118" t="s">
        <v>110</v>
      </c>
      <c r="U23" s="112" t="str">
        <f>IF($U$26="s",$U$22/12, "Não se aplica")</f>
        <v>Não se aplica</v>
      </c>
      <c r="V23" s="107"/>
      <c r="W23" s="106"/>
      <c r="X23" s="108"/>
      <c r="Y23" s="106"/>
      <c r="Z23" s="106"/>
      <c r="AA23" s="106"/>
      <c r="AB23" s="106"/>
      <c r="AC23" s="106"/>
    </row>
    <row r="24" spans="1:29" ht="21" hidden="1">
      <c r="A24" s="9" t="s">
        <v>116</v>
      </c>
      <c r="B24" s="9" t="str">
        <f t="shared" si="1"/>
        <v>Sexo:f_Gestante:n_Idade:0a2_Atividade:Inativo</v>
      </c>
      <c r="C24" s="99" t="s">
        <v>179</v>
      </c>
      <c r="D24" s="96" t="s">
        <v>180</v>
      </c>
      <c r="E24" s="105" t="s">
        <v>134</v>
      </c>
      <c r="F24" s="105" t="s">
        <v>120</v>
      </c>
      <c r="G24" s="105" t="s">
        <v>171</v>
      </c>
      <c r="H24" s="9" t="s">
        <v>122</v>
      </c>
      <c r="I24" s="9">
        <v>-69.150000000000006</v>
      </c>
      <c r="J24" s="9">
        <v>80</v>
      </c>
      <c r="K24" s="9">
        <v>2.65</v>
      </c>
      <c r="L24" s="9">
        <v>54.15</v>
      </c>
      <c r="M24" s="9">
        <v>0</v>
      </c>
      <c r="N24" s="9">
        <v>95</v>
      </c>
      <c r="O24">
        <f t="shared" si="0"/>
        <v>8497.7950000000001</v>
      </c>
      <c r="P24" s="9" t="str">
        <f t="shared" si="2"/>
        <v>-69,15 + (80*idade) + (2,65*altura) + (54,15*peso)</v>
      </c>
      <c r="Q24" s="99" t="s">
        <v>181</v>
      </c>
      <c r="R24" s="106"/>
      <c r="S24" s="106"/>
      <c r="T24" s="118" t="s">
        <v>187</v>
      </c>
      <c r="U24" s="112" t="str" cm="1">
        <f t="array" ref="U24">_xlfn.SWITCH(TRUE, 40&lt;=$U$20, "SOB", 30&lt;=$U$20, "OB", 25&lt;=$U$20, "OW",  18.5&lt;=$U$20, "NW", 0&lt;=$U$20, "UW")</f>
        <v>NW</v>
      </c>
      <c r="V24" s="107"/>
      <c r="W24" s="106"/>
      <c r="X24" s="108"/>
      <c r="Y24" s="106"/>
      <c r="Z24" s="106"/>
      <c r="AA24" s="106"/>
      <c r="AB24" s="106"/>
      <c r="AC24" s="106"/>
    </row>
    <row r="25" spans="1:29" ht="21" hidden="1">
      <c r="A25" s="9" t="s">
        <v>116</v>
      </c>
      <c r="B25" s="9" t="str">
        <f t="shared" si="1"/>
        <v>Sexo:f_Gestante:n_Idade:0a2_Atividade:Pouco ativo</v>
      </c>
      <c r="C25" s="99" t="s">
        <v>183</v>
      </c>
      <c r="D25" s="96" t="s">
        <v>180</v>
      </c>
      <c r="E25" s="105" t="s">
        <v>134</v>
      </c>
      <c r="F25" s="105" t="s">
        <v>120</v>
      </c>
      <c r="G25" s="105" t="s">
        <v>171</v>
      </c>
      <c r="H25" s="9" t="s">
        <v>125</v>
      </c>
      <c r="I25" s="9">
        <v>-69.150000000000006</v>
      </c>
      <c r="J25" s="9">
        <v>80</v>
      </c>
      <c r="K25" s="9">
        <v>2.65</v>
      </c>
      <c r="L25" s="9">
        <v>54.15</v>
      </c>
      <c r="M25" s="9">
        <v>0</v>
      </c>
      <c r="N25" s="9">
        <v>95</v>
      </c>
      <c r="O25">
        <f t="shared" si="0"/>
        <v>8497.7950000000001</v>
      </c>
      <c r="P25" s="9" t="str">
        <f t="shared" si="2"/>
        <v>-69,15 + (80*idade) + (2,65*altura) + (54,15*peso)</v>
      </c>
      <c r="Q25" s="99" t="s">
        <v>181</v>
      </c>
      <c r="R25" s="106"/>
      <c r="S25" s="106"/>
      <c r="T25" s="118" t="s">
        <v>228</v>
      </c>
      <c r="U25" s="112" t="str" cm="1">
        <f t="array" ref="U25">IF($U$26="s",_xlfn.SWITCH($U$24, "uw", 300, "nw", 200, "ow", 150, "ob", -50, "SOB", "Sem dados"), "Não se aplica")</f>
        <v>Não se aplica</v>
      </c>
      <c r="V25" s="106"/>
      <c r="W25" s="106"/>
      <c r="X25" s="108"/>
      <c r="Y25" s="106"/>
      <c r="Z25" s="106"/>
      <c r="AA25" s="106"/>
      <c r="AB25" s="106"/>
      <c r="AC25" s="106"/>
    </row>
    <row r="26" spans="1:29" ht="21" hidden="1">
      <c r="A26" s="9" t="s">
        <v>116</v>
      </c>
      <c r="B26" s="9" t="str">
        <f t="shared" si="1"/>
        <v>Sexo:f_Gestante:n_Idade:0a2_Atividade:Ativo</v>
      </c>
      <c r="C26" s="99" t="s">
        <v>184</v>
      </c>
      <c r="D26" s="96" t="s">
        <v>180</v>
      </c>
      <c r="E26" s="105" t="s">
        <v>134</v>
      </c>
      <c r="F26" s="105" t="s">
        <v>120</v>
      </c>
      <c r="G26" s="105" t="s">
        <v>171</v>
      </c>
      <c r="H26" s="9" t="s">
        <v>37</v>
      </c>
      <c r="I26" s="9">
        <v>-69.150000000000006</v>
      </c>
      <c r="J26" s="9">
        <v>80</v>
      </c>
      <c r="K26" s="9">
        <v>2.65</v>
      </c>
      <c r="L26" s="9">
        <v>54.15</v>
      </c>
      <c r="M26" s="9">
        <v>0</v>
      </c>
      <c r="N26" s="9">
        <v>95</v>
      </c>
      <c r="O26">
        <f t="shared" si="0"/>
        <v>8497.7950000000001</v>
      </c>
      <c r="P26" s="9" t="str">
        <f t="shared" si="2"/>
        <v>-69,15 + (80*idade) + (2,65*altura) + (54,15*peso)</v>
      </c>
      <c r="Q26" s="99" t="s">
        <v>181</v>
      </c>
      <c r="R26" s="106"/>
      <c r="S26" s="106"/>
      <c r="T26" s="118" t="s">
        <v>156</v>
      </c>
      <c r="U26" s="115" t="s">
        <v>120</v>
      </c>
      <c r="V26" s="107"/>
      <c r="W26" s="106"/>
      <c r="X26" s="108"/>
      <c r="Y26" s="106"/>
      <c r="Z26" s="106"/>
      <c r="AA26" s="106"/>
      <c r="AB26" s="106"/>
      <c r="AC26" s="106"/>
    </row>
    <row r="27" spans="1:29" ht="21" hidden="1">
      <c r="A27" s="9" t="s">
        <v>116</v>
      </c>
      <c r="B27" s="9" t="str">
        <f t="shared" si="1"/>
        <v>Sexo:f_Gestante:n_Idade:0a2_Atividade:Muito ativo</v>
      </c>
      <c r="C27" s="99" t="s">
        <v>186</v>
      </c>
      <c r="D27" s="96" t="s">
        <v>180</v>
      </c>
      <c r="E27" s="105" t="s">
        <v>134</v>
      </c>
      <c r="F27" s="105" t="s">
        <v>120</v>
      </c>
      <c r="G27" s="105" t="s">
        <v>171</v>
      </c>
      <c r="H27" s="9" t="s">
        <v>130</v>
      </c>
      <c r="I27" s="9">
        <v>-69.150000000000006</v>
      </c>
      <c r="J27" s="9">
        <v>80</v>
      </c>
      <c r="K27" s="9">
        <v>2.65</v>
      </c>
      <c r="L27" s="9">
        <v>54.15</v>
      </c>
      <c r="M27" s="9">
        <v>0</v>
      </c>
      <c r="N27" s="9">
        <v>95</v>
      </c>
      <c r="O27">
        <f t="shared" si="0"/>
        <v>8497.7950000000001</v>
      </c>
      <c r="P27" s="9" t="str">
        <f t="shared" si="2"/>
        <v>-69,15 + (80*idade) + (2,65*altura) + (54,15*peso)</v>
      </c>
      <c r="Q27" s="99" t="s">
        <v>181</v>
      </c>
      <c r="R27" s="106"/>
      <c r="S27" s="106"/>
      <c r="T27" s="119"/>
      <c r="U27" s="113"/>
      <c r="V27" s="106"/>
      <c r="W27" s="106"/>
      <c r="X27" s="108"/>
      <c r="Y27" s="106"/>
      <c r="Z27" s="106"/>
      <c r="AA27" s="106"/>
      <c r="AB27" s="106"/>
      <c r="AC27" s="106"/>
    </row>
    <row r="28" spans="1:29" ht="21" hidden="1">
      <c r="A28" s="100" t="s">
        <v>116</v>
      </c>
      <c r="B28" s="9" t="str">
        <f t="shared" si="1"/>
        <v>Sexo:f_Gestante:s_Idade:any_Atividade:Inativo</v>
      </c>
      <c r="C28" s="99"/>
      <c r="D28" s="101" t="s">
        <v>188</v>
      </c>
      <c r="E28" s="100" t="s">
        <v>134</v>
      </c>
      <c r="F28" s="100" t="s">
        <v>189</v>
      </c>
      <c r="G28" s="100" t="s">
        <v>190</v>
      </c>
      <c r="H28" s="9" t="s">
        <v>122</v>
      </c>
      <c r="I28" s="100">
        <v>1131.2</v>
      </c>
      <c r="J28" s="100">
        <v>-2.04</v>
      </c>
      <c r="K28" s="100">
        <v>0.34</v>
      </c>
      <c r="L28" s="100">
        <v>12.15</v>
      </c>
      <c r="M28" s="100">
        <v>0</v>
      </c>
      <c r="N28" s="100">
        <v>282</v>
      </c>
      <c r="O28" s="102">
        <f t="shared" si="0"/>
        <v>1574.9250000000002</v>
      </c>
      <c r="P28" s="100" t="str">
        <f t="shared" si="2"/>
        <v>1131,2 - (2,04*idade) + (0,34*altura) + (12,15*peso)</v>
      </c>
      <c r="Q28" s="103" t="s">
        <v>191</v>
      </c>
      <c r="R28" s="106"/>
      <c r="S28" s="106"/>
      <c r="T28" s="118" t="s">
        <v>195</v>
      </c>
      <c r="U28" s="116" t="str">
        <f>_xlfn.CONCAT("Sexo:",$U$14, "_Gestante:",IF( AND($U$26="S", 2&gt;$U$23),"n",$U$26 ), "_Idade:",IF(AND($U$26="s", 2&lt;=$U$23),"any",$U$19),"_Atividade:",$U$18)</f>
        <v>Sexo:f_Gestante:n_Idade:19≤_Atividade:Pouco ativo</v>
      </c>
      <c r="V28" s="106"/>
      <c r="W28" s="106"/>
      <c r="X28" s="108"/>
      <c r="Y28" s="106"/>
      <c r="Z28" s="106"/>
      <c r="AA28" s="106"/>
      <c r="AB28" s="106"/>
      <c r="AC28" s="106"/>
    </row>
    <row r="29" spans="1:29" ht="21">
      <c r="A29" s="100" t="s">
        <v>116</v>
      </c>
      <c r="B29" s="9" t="str">
        <f t="shared" si="1"/>
        <v>Sexo:f_Gestante:s_Idade:any_Atividade:Pouco ativo</v>
      </c>
      <c r="C29" s="99"/>
      <c r="D29" s="101" t="s">
        <v>188</v>
      </c>
      <c r="E29" s="100" t="s">
        <v>134</v>
      </c>
      <c r="F29" s="100" t="s">
        <v>189</v>
      </c>
      <c r="G29" s="100" t="s">
        <v>190</v>
      </c>
      <c r="H29" s="9" t="s">
        <v>125</v>
      </c>
      <c r="I29" s="100">
        <v>693.35</v>
      </c>
      <c r="J29" s="100">
        <v>-2.04</v>
      </c>
      <c r="K29" s="100">
        <v>5.73</v>
      </c>
      <c r="L29" s="104">
        <v>10.199999999999999</v>
      </c>
      <c r="M29" s="100">
        <v>0</v>
      </c>
      <c r="N29" s="100">
        <v>282</v>
      </c>
      <c r="O29" s="102">
        <f t="shared" si="0"/>
        <v>1880.75</v>
      </c>
      <c r="P29" s="100" t="str">
        <f t="shared" si="2"/>
        <v>693,35 - (2,04*idade) + (5,73*altura) + (10,2*peso)</v>
      </c>
      <c r="Q29" s="103" t="s">
        <v>193</v>
      </c>
      <c r="R29" s="106"/>
      <c r="S29" s="106"/>
      <c r="T29" s="119"/>
      <c r="U29" s="117"/>
      <c r="V29" s="106"/>
      <c r="W29" s="106"/>
      <c r="X29" s="108"/>
      <c r="Y29" s="106"/>
      <c r="Z29" s="106"/>
      <c r="AA29" s="106"/>
      <c r="AB29" s="106"/>
      <c r="AC29" s="106"/>
    </row>
    <row r="30" spans="1:29" ht="21">
      <c r="A30" s="100" t="s">
        <v>116</v>
      </c>
      <c r="B30" s="9" t="str">
        <f t="shared" si="1"/>
        <v>Sexo:f_Gestante:s_Idade:any_Atividade:Ativo</v>
      </c>
      <c r="C30" s="99"/>
      <c r="D30" s="101" t="s">
        <v>188</v>
      </c>
      <c r="E30" s="100" t="s">
        <v>134</v>
      </c>
      <c r="F30" s="100" t="s">
        <v>189</v>
      </c>
      <c r="G30" s="100" t="s">
        <v>190</v>
      </c>
      <c r="H30" s="9" t="s">
        <v>37</v>
      </c>
      <c r="I30" s="100">
        <v>-223.84</v>
      </c>
      <c r="J30" s="100">
        <v>-2.04</v>
      </c>
      <c r="K30" s="100">
        <v>13.23</v>
      </c>
      <c r="L30" s="104">
        <v>8.15</v>
      </c>
      <c r="M30" s="100">
        <v>0</v>
      </c>
      <c r="N30" s="100">
        <v>282</v>
      </c>
      <c r="O30" s="102">
        <f t="shared" si="0"/>
        <v>2027.7450000000001</v>
      </c>
      <c r="P30" s="100" t="str">
        <f t="shared" si="2"/>
        <v>-223,84 - (2,04*idade) + (13,23*altura) + (8,15*peso)</v>
      </c>
      <c r="Q30" s="103" t="s">
        <v>194</v>
      </c>
      <c r="R30" s="106"/>
      <c r="S30" s="106"/>
      <c r="T30" s="123" t="s">
        <v>201</v>
      </c>
      <c r="U30" s="124" t="str">
        <f>IFERROR(IF(AND($U$14="m",$U$26="s"),"Não consigo calcular", VLOOKUP($U$28,$C$3:$Q$35,14,FALSE)), "ERRO GRAVE insira as informações corretamente")</f>
        <v>575,77 - (7,01*idade) + (6,6*altura) + (12,14*peso)</v>
      </c>
      <c r="V30" s="106"/>
      <c r="W30" s="106"/>
      <c r="X30" s="108"/>
      <c r="Y30" s="106"/>
      <c r="Z30" s="106"/>
      <c r="AA30" s="106"/>
      <c r="AB30" s="106"/>
      <c r="AC30" s="106"/>
    </row>
    <row r="31" spans="1:29" ht="21">
      <c r="A31" s="100" t="s">
        <v>116</v>
      </c>
      <c r="B31" s="9" t="str">
        <f t="shared" si="1"/>
        <v>Sexo:f_Gestante:s_Idade:any_Atividade:Muito ativo</v>
      </c>
      <c r="C31" s="99"/>
      <c r="D31" s="101" t="s">
        <v>188</v>
      </c>
      <c r="E31" s="100" t="s">
        <v>134</v>
      </c>
      <c r="F31" s="100" t="s">
        <v>189</v>
      </c>
      <c r="G31" s="100" t="s">
        <v>190</v>
      </c>
      <c r="H31" s="9" t="s">
        <v>130</v>
      </c>
      <c r="I31" s="100">
        <v>-779.72</v>
      </c>
      <c r="J31" s="100">
        <v>-2.04</v>
      </c>
      <c r="K31" s="100">
        <v>18.45</v>
      </c>
      <c r="L31" s="104">
        <v>8.73</v>
      </c>
      <c r="M31" s="100">
        <v>0</v>
      </c>
      <c r="N31" s="100">
        <v>282</v>
      </c>
      <c r="O31" s="102">
        <f t="shared" si="0"/>
        <v>2301.4389999999999</v>
      </c>
      <c r="P31" s="100" t="str">
        <f t="shared" si="2"/>
        <v>-779,72 - (2,04*idade) + (18,45*altura) + (8,73*peso)</v>
      </c>
      <c r="Q31" s="103" t="s">
        <v>196</v>
      </c>
      <c r="R31" s="106"/>
      <c r="S31" s="106"/>
      <c r="T31" s="123" t="s">
        <v>204</v>
      </c>
      <c r="U31" s="125">
        <f>ROUND(IFERROR(IF(AND($U$14="m",$U$26="s"),"Não consigo calcular", VLOOKUP($U$28,$C$3:$Q$35,13,FALSE)), "ERRO GRAVE insira as informações corretamente"),0)</f>
        <v>1625</v>
      </c>
      <c r="V31" s="106"/>
      <c r="W31" s="106"/>
      <c r="X31" s="108"/>
      <c r="Y31" s="106"/>
      <c r="Z31" s="106"/>
      <c r="AA31" s="106"/>
      <c r="AB31" s="106"/>
      <c r="AC31" s="106"/>
    </row>
    <row r="32" spans="1:29" ht="21">
      <c r="A32" s="9" t="s">
        <v>197</v>
      </c>
      <c r="B32" s="9" t="str">
        <f t="shared" si="1"/>
        <v>Sexo:f_Gestante:s_Idade:any_Atividade:Inativo</v>
      </c>
      <c r="C32" s="99" t="s">
        <v>229</v>
      </c>
      <c r="D32" s="96" t="s">
        <v>188</v>
      </c>
      <c r="E32" s="105" t="s">
        <v>134</v>
      </c>
      <c r="F32" s="105" t="s">
        <v>189</v>
      </c>
      <c r="G32" s="105" t="s">
        <v>190</v>
      </c>
      <c r="H32" s="9" t="s">
        <v>122</v>
      </c>
      <c r="I32" s="9">
        <v>1131.2</v>
      </c>
      <c r="J32" s="9">
        <v>-2.04</v>
      </c>
      <c r="K32" s="9">
        <v>0.34</v>
      </c>
      <c r="L32" s="9">
        <v>12.15</v>
      </c>
      <c r="M32" s="9">
        <v>9.16</v>
      </c>
      <c r="N32" t="s">
        <v>230</v>
      </c>
      <c r="O32" t="e">
        <f>I32+(J32*$U$15)+(K32*$U$17)+(L32*$U$16)+(M32*$U$22)+$U$25</f>
        <v>#VALUE!</v>
      </c>
      <c r="P32" s="9" t="str">
        <f>_xlfn.CONCAT(I32, IF(J32&lt;0, " - ", " + "), "(", IF(J32&lt;0,J32*-1,J32), "*idade)", IF(K32&lt;0, " - ", " + "), "(", IF(K32&lt;0,K32*-1,K32), "*altura)", IF(L32&lt;0, " - ", " + "), "(", IF(L32&lt;0,L32*-1,L32), "*peso)", " + ",M32,"* SemanaGestacao"," + DeposicaoEnergia")</f>
        <v>1131,2 - (2,04*idade) + (0,34*altura) + (12,15*peso) + 9,16* SemanaGestacao + DeposicaoEnergia</v>
      </c>
      <c r="Q32" s="99" t="s">
        <v>200</v>
      </c>
      <c r="R32" s="106"/>
      <c r="S32" s="106"/>
      <c r="T32" s="123" t="s">
        <v>207</v>
      </c>
      <c r="U32" s="124" t="str">
        <f>IFERROR(IF(AND($U$14="m",$U$26="s"),"Não consigo calcular", _xlfn.CONCAT(VLOOKUP($U$28,$C$3:$Q$35,12,FALSE), " ") ), "ERRO GRAVE insira as informações corretamente")</f>
        <v xml:space="preserve">246 </v>
      </c>
      <c r="V32" s="106"/>
      <c r="W32" s="106"/>
      <c r="X32" s="108"/>
      <c r="Y32" s="106"/>
      <c r="Z32" s="106"/>
      <c r="AA32" s="106"/>
      <c r="AB32" s="106"/>
      <c r="AC32" s="106"/>
    </row>
    <row r="33" spans="1:29" ht="21">
      <c r="A33" s="9" t="s">
        <v>197</v>
      </c>
      <c r="B33" s="9" t="str">
        <f t="shared" si="1"/>
        <v>Sexo:f_Gestante:s_Idade:any_Atividade:Pouco ativo</v>
      </c>
      <c r="C33" s="99" t="s">
        <v>231</v>
      </c>
      <c r="D33" s="96" t="s">
        <v>188</v>
      </c>
      <c r="E33" s="105" t="s">
        <v>134</v>
      </c>
      <c r="F33" s="105" t="s">
        <v>189</v>
      </c>
      <c r="G33" s="105" t="s">
        <v>190</v>
      </c>
      <c r="H33" s="9" t="s">
        <v>125</v>
      </c>
      <c r="I33" s="9">
        <v>693.35</v>
      </c>
      <c r="J33" s="9">
        <v>-2.04</v>
      </c>
      <c r="K33" s="9">
        <v>5.73</v>
      </c>
      <c r="L33" s="98">
        <v>10.199999999999999</v>
      </c>
      <c r="M33" s="9">
        <v>9.16</v>
      </c>
      <c r="N33" t="s">
        <v>230</v>
      </c>
      <c r="O33" t="e">
        <f>I33+(J33*$U$15)+(K33*$U$17)+(L33*$U$16)+(M33*$U$22)+$U$25</f>
        <v>#VALUE!</v>
      </c>
      <c r="P33" s="9" t="str">
        <f>_xlfn.CONCAT(I33, IF(J33&lt;0, " - ", " + "), "(", IF(J33&lt;0,J33*-1,J33), "*idade)", IF(K33&lt;0, " - ", " + "), "(", IF(K33&lt;0,K33*-1,K33), "*altura)", IF(L33&lt;0, " - ", " + "), "(", IF(L33&lt;0,L33*-1,L33), "*peso)", " + ",M33,"* SemanaGestacao"," + DeposicaoEnergia")</f>
        <v>693,35 - (2,04*idade) + (5,73*altura) + (10,2*peso) + 9,16* SemanaGestacao + DeposicaoEnergia</v>
      </c>
      <c r="Q33" s="99" t="s">
        <v>203</v>
      </c>
      <c r="R33" s="106"/>
      <c r="S33" s="106"/>
      <c r="T33" s="123" t="s">
        <v>210</v>
      </c>
      <c r="U33" s="124" t="str">
        <f>_xlfn.CONCAT($U$31-2*$U$32, " - ", $U$31+2*$U$32)</f>
        <v>1133 - 2117</v>
      </c>
      <c r="V33" s="106"/>
      <c r="W33" s="108"/>
      <c r="X33" s="108"/>
      <c r="Y33" s="106"/>
      <c r="Z33" s="106"/>
      <c r="AA33" s="106"/>
      <c r="AB33" s="106"/>
      <c r="AC33" s="106"/>
    </row>
    <row r="34" spans="1:29">
      <c r="A34" s="9" t="s">
        <v>197</v>
      </c>
      <c r="B34" s="9" t="str">
        <f t="shared" si="1"/>
        <v>Sexo:f_Gestante:s_Idade:any_Atividade:Ativo</v>
      </c>
      <c r="C34" s="99" t="s">
        <v>232</v>
      </c>
      <c r="D34" s="96" t="s">
        <v>188</v>
      </c>
      <c r="E34" s="105" t="s">
        <v>134</v>
      </c>
      <c r="F34" s="105" t="s">
        <v>189</v>
      </c>
      <c r="G34" s="105" t="s">
        <v>190</v>
      </c>
      <c r="H34" s="9" t="s">
        <v>37</v>
      </c>
      <c r="I34" s="9">
        <v>-223.84</v>
      </c>
      <c r="J34" s="9">
        <v>-2.04</v>
      </c>
      <c r="K34" s="9">
        <v>13.23</v>
      </c>
      <c r="L34" s="98">
        <v>8.15</v>
      </c>
      <c r="M34" s="9">
        <v>9.16</v>
      </c>
      <c r="N34" t="s">
        <v>230</v>
      </c>
      <c r="O34" t="e">
        <f>I34+(J34*$U$15)+(K34*$U$17)+(L34*$U$16)+(M34*$U$22)+$U$25</f>
        <v>#VALUE!</v>
      </c>
      <c r="P34" s="9" t="str">
        <f>_xlfn.CONCAT(I34, IF(J34&lt;0, " - ", " + "), "(", IF(J34&lt;0,J34*-1,J34), "*idade)", IF(K34&lt;0, " - ", " + "), "(", IF(K34&lt;0,K34*-1,K34), "*altura)", IF(L34&lt;0, " - ", " + "), "(", IF(L34&lt;0,L34*-1,L34), "*peso)", " + ",M34,"* SemanaGestacao"," + DeposicaoEnergia")</f>
        <v>-223,84 - (2,04*idade) + (13,23*altura) + (8,15*peso) + 9,16* SemanaGestacao + DeposicaoEnergia</v>
      </c>
      <c r="Q34" s="99" t="s">
        <v>206</v>
      </c>
      <c r="R34" s="106"/>
      <c r="S34" s="106"/>
      <c r="T34" s="106"/>
      <c r="U34" s="106"/>
      <c r="V34" s="106"/>
      <c r="W34" s="108"/>
      <c r="X34" s="108"/>
      <c r="Y34" s="106"/>
      <c r="Z34" s="106"/>
      <c r="AA34" s="106"/>
      <c r="AB34" s="106"/>
      <c r="AC34" s="106"/>
    </row>
    <row r="35" spans="1:29">
      <c r="A35" s="9" t="s">
        <v>197</v>
      </c>
      <c r="B35" s="9" t="str">
        <f t="shared" si="1"/>
        <v>Sexo:f_Gestante:s_Idade:any_Atividade:Muito ativo</v>
      </c>
      <c r="C35" s="99" t="s">
        <v>233</v>
      </c>
      <c r="D35" s="96" t="s">
        <v>188</v>
      </c>
      <c r="E35" s="105" t="s">
        <v>134</v>
      </c>
      <c r="F35" s="105" t="s">
        <v>189</v>
      </c>
      <c r="G35" s="105" t="s">
        <v>190</v>
      </c>
      <c r="H35" s="9" t="s">
        <v>130</v>
      </c>
      <c r="I35" s="9">
        <v>-779.72</v>
      </c>
      <c r="J35" s="9">
        <v>-2.04</v>
      </c>
      <c r="K35" s="9">
        <v>18.45</v>
      </c>
      <c r="L35" s="98">
        <v>8.73</v>
      </c>
      <c r="M35" s="9">
        <v>9.16</v>
      </c>
      <c r="N35" t="s">
        <v>230</v>
      </c>
      <c r="O35" t="e">
        <f>I35+(J35*$U$15)+(K35*$U$17)+(L35*$U$16)+(M35*$U$22)+$U$25</f>
        <v>#VALUE!</v>
      </c>
      <c r="P35" s="9" t="str">
        <f>_xlfn.CONCAT(I35, IF(J35&lt;0, " - ", " + "), "(", IF(J35&lt;0,J35*-1,J35), "*idade)", IF(K35&lt;0, " - ", " + "), "(", IF(K35&lt;0,K35*-1,K35), "*altura)", IF(L35&lt;0, " - ", " + "), "(", IF(L35&lt;0,L35*-1,L35), "*peso)", " + ",M35,"* SemanaGestacao"," + DeposicaoEnergia")</f>
        <v>-779,72 - (2,04*idade) + (18,45*altura) + (8,73*peso) + 9,16* SemanaGestacao + DeposicaoEnergia</v>
      </c>
      <c r="Q35" s="99" t="s">
        <v>209</v>
      </c>
      <c r="R35" s="106"/>
      <c r="S35" s="106"/>
      <c r="T35" s="106"/>
      <c r="U35" s="106"/>
      <c r="V35" s="106"/>
      <c r="W35" s="108"/>
      <c r="X35" s="108"/>
      <c r="Y35" s="106"/>
      <c r="Z35" s="106"/>
      <c r="AA35" s="106"/>
      <c r="AB35" s="106"/>
      <c r="AC35" s="106"/>
    </row>
    <row r="36" spans="1:29">
      <c r="R36" s="106"/>
      <c r="S36" s="106"/>
      <c r="T36" s="106"/>
      <c r="U36" s="106"/>
      <c r="V36" s="106"/>
      <c r="W36" s="108"/>
      <c r="X36" s="108"/>
      <c r="Y36" s="106"/>
      <c r="Z36" s="106"/>
      <c r="AA36" s="106"/>
      <c r="AB36" s="106"/>
      <c r="AC36" s="106"/>
    </row>
    <row r="37" spans="1:29">
      <c r="R37" s="106"/>
      <c r="S37" s="106"/>
      <c r="T37" s="106"/>
      <c r="U37" s="106"/>
      <c r="V37" s="106"/>
      <c r="W37" s="108"/>
      <c r="X37" s="108"/>
      <c r="Y37" s="106"/>
      <c r="Z37" s="106"/>
      <c r="AA37" s="106"/>
      <c r="AB37" s="106"/>
      <c r="AC37" s="106"/>
    </row>
    <row r="38" spans="1:29">
      <c r="R38" s="106"/>
      <c r="S38" s="106"/>
      <c r="T38" s="106"/>
      <c r="U38" s="106"/>
      <c r="V38" s="106"/>
      <c r="W38" s="108"/>
      <c r="X38" s="108"/>
      <c r="Y38" s="106"/>
      <c r="Z38" s="106"/>
      <c r="AA38" s="106"/>
      <c r="AB38" s="106"/>
      <c r="AC38" s="106"/>
    </row>
    <row r="39" spans="1:29">
      <c r="H39" t="s">
        <v>215</v>
      </c>
      <c r="I39" t="s">
        <v>216</v>
      </c>
      <c r="J39" t="s">
        <v>217</v>
      </c>
      <c r="K39" t="s">
        <v>218</v>
      </c>
      <c r="R39" s="106"/>
      <c r="S39" s="106"/>
      <c r="T39" s="106"/>
      <c r="U39" s="106"/>
      <c r="V39" s="106"/>
      <c r="W39" s="108"/>
      <c r="X39" s="108"/>
      <c r="Y39" s="106"/>
      <c r="Z39" s="106"/>
      <c r="AA39" s="106"/>
      <c r="AB39" s="106"/>
      <c r="AC39" s="106"/>
    </row>
    <row r="40" spans="1:29">
      <c r="H40" t="s">
        <v>219</v>
      </c>
      <c r="I40" t="s">
        <v>220</v>
      </c>
      <c r="J40">
        <v>1</v>
      </c>
      <c r="K40">
        <v>1.31</v>
      </c>
      <c r="R40" s="106"/>
      <c r="S40" s="106"/>
      <c r="T40" s="106"/>
      <c r="U40" s="106"/>
      <c r="V40" s="106"/>
      <c r="W40" s="108"/>
      <c r="X40" s="108"/>
      <c r="Y40" s="106"/>
      <c r="Z40" s="106"/>
      <c r="AA40" s="106"/>
      <c r="AB40" s="106"/>
      <c r="AC40" s="106"/>
    </row>
    <row r="41" spans="1:29">
      <c r="H41" t="s">
        <v>219</v>
      </c>
      <c r="I41" t="s">
        <v>221</v>
      </c>
      <c r="J41">
        <v>1.31</v>
      </c>
      <c r="K41">
        <v>1.44</v>
      </c>
      <c r="R41" s="106"/>
      <c r="S41" s="106"/>
      <c r="T41" s="106"/>
      <c r="U41" s="106"/>
      <c r="V41" s="106"/>
      <c r="W41" s="108"/>
      <c r="X41" s="108"/>
      <c r="Y41" s="106"/>
      <c r="Z41" s="106"/>
      <c r="AA41" s="106"/>
      <c r="AB41" s="106"/>
      <c r="AC41" s="106"/>
    </row>
    <row r="42" spans="1:29">
      <c r="H42" t="s">
        <v>219</v>
      </c>
      <c r="I42" t="s">
        <v>222</v>
      </c>
      <c r="J42">
        <v>1.44</v>
      </c>
      <c r="K42">
        <v>1.59</v>
      </c>
      <c r="R42" s="106"/>
      <c r="S42" s="106"/>
      <c r="T42" s="106"/>
      <c r="U42" s="106"/>
      <c r="V42" s="106"/>
      <c r="W42" s="108"/>
      <c r="X42" s="108"/>
      <c r="Y42" s="106"/>
      <c r="Z42" s="106"/>
      <c r="AA42" s="106"/>
      <c r="AB42" s="106"/>
      <c r="AC42" s="106"/>
    </row>
    <row r="43" spans="1:29">
      <c r="H43" t="s">
        <v>219</v>
      </c>
      <c r="I43" t="s">
        <v>223</v>
      </c>
      <c r="J43">
        <v>1.59</v>
      </c>
      <c r="K43">
        <v>2.5</v>
      </c>
      <c r="R43" s="106"/>
      <c r="S43" s="106"/>
      <c r="T43" s="106"/>
      <c r="U43" s="106"/>
      <c r="V43" s="106"/>
      <c r="W43" s="108"/>
      <c r="X43" s="108"/>
      <c r="Y43" s="106"/>
      <c r="Z43" s="106"/>
      <c r="AA43" s="106"/>
      <c r="AB43" s="106"/>
      <c r="AC43" s="106"/>
    </row>
    <row r="44" spans="1:29">
      <c r="H44" t="s">
        <v>224</v>
      </c>
      <c r="I44" t="s">
        <v>220</v>
      </c>
      <c r="J44">
        <v>1</v>
      </c>
      <c r="K44">
        <v>1.44</v>
      </c>
      <c r="R44" s="106"/>
      <c r="S44" s="106"/>
      <c r="T44" s="106"/>
      <c r="U44" s="106"/>
      <c r="V44" s="106"/>
      <c r="W44" s="108"/>
      <c r="X44" s="108"/>
      <c r="Y44" s="106"/>
      <c r="Z44" s="106"/>
      <c r="AA44" s="106"/>
      <c r="AB44" s="106"/>
      <c r="AC44" s="106"/>
    </row>
    <row r="45" spans="1:29">
      <c r="H45" t="s">
        <v>224</v>
      </c>
      <c r="I45" t="s">
        <v>221</v>
      </c>
      <c r="J45">
        <v>1.44</v>
      </c>
      <c r="K45">
        <v>1.59</v>
      </c>
      <c r="R45" s="106"/>
      <c r="S45" s="106"/>
      <c r="T45" s="106"/>
      <c r="U45" s="106"/>
      <c r="V45" s="106"/>
      <c r="W45" s="108"/>
      <c r="X45" s="108"/>
      <c r="Y45" s="106"/>
      <c r="Z45" s="106"/>
      <c r="AA45" s="106"/>
      <c r="AB45" s="106"/>
      <c r="AC45" s="106"/>
    </row>
    <row r="46" spans="1:29">
      <c r="H46" t="s">
        <v>224</v>
      </c>
      <c r="I46" t="s">
        <v>222</v>
      </c>
      <c r="J46">
        <v>1.59</v>
      </c>
      <c r="K46">
        <v>1.77</v>
      </c>
      <c r="R46" s="106"/>
      <c r="S46" s="106"/>
      <c r="T46" s="106"/>
      <c r="U46" s="106"/>
      <c r="V46" s="106"/>
      <c r="W46" s="108"/>
      <c r="X46" s="108"/>
      <c r="Y46" s="106"/>
      <c r="Z46" s="106"/>
      <c r="AA46" s="106"/>
      <c r="AB46" s="106"/>
      <c r="AC46" s="106"/>
    </row>
    <row r="47" spans="1:29">
      <c r="H47" t="s">
        <v>224</v>
      </c>
      <c r="I47" t="s">
        <v>223</v>
      </c>
      <c r="J47">
        <v>1.77</v>
      </c>
      <c r="K47">
        <v>2.5</v>
      </c>
      <c r="R47" s="106"/>
      <c r="S47" s="106"/>
      <c r="T47" s="106"/>
      <c r="U47" s="106"/>
      <c r="V47" s="106"/>
      <c r="W47" s="108"/>
      <c r="X47" s="108"/>
      <c r="Y47" s="106"/>
      <c r="Z47" s="106"/>
      <c r="AA47" s="106"/>
      <c r="AB47" s="106"/>
      <c r="AC47" s="106"/>
    </row>
    <row r="48" spans="1:29">
      <c r="H48" t="s">
        <v>225</v>
      </c>
      <c r="I48" t="s">
        <v>220</v>
      </c>
      <c r="J48">
        <v>1</v>
      </c>
      <c r="K48">
        <v>1.56</v>
      </c>
      <c r="R48" s="106"/>
      <c r="S48" s="106"/>
      <c r="T48" s="106"/>
      <c r="U48" s="106"/>
      <c r="V48" s="106"/>
      <c r="W48" s="108"/>
      <c r="X48" s="108"/>
      <c r="Y48" s="106"/>
      <c r="Z48" s="106"/>
      <c r="AA48" s="106"/>
      <c r="AB48" s="106"/>
      <c r="AC48" s="106"/>
    </row>
    <row r="49" spans="8:29">
      <c r="H49" t="s">
        <v>225</v>
      </c>
      <c r="I49" t="s">
        <v>221</v>
      </c>
      <c r="J49">
        <v>1.56</v>
      </c>
      <c r="K49">
        <v>1.73</v>
      </c>
      <c r="R49" s="106"/>
      <c r="S49" s="106"/>
      <c r="T49" s="106"/>
      <c r="U49" s="106"/>
      <c r="V49" s="106"/>
      <c r="W49" s="108"/>
      <c r="X49" s="108"/>
      <c r="Y49" s="106"/>
      <c r="Z49" s="106"/>
      <c r="AA49" s="106"/>
      <c r="AB49" s="106"/>
      <c r="AC49" s="106"/>
    </row>
    <row r="50" spans="8:29">
      <c r="H50" t="s">
        <v>225</v>
      </c>
      <c r="I50" t="s">
        <v>222</v>
      </c>
      <c r="J50">
        <v>1.73</v>
      </c>
      <c r="K50">
        <v>1.92</v>
      </c>
      <c r="R50" s="106"/>
      <c r="S50" s="106"/>
      <c r="T50" s="106"/>
      <c r="U50" s="106"/>
      <c r="V50" s="106"/>
      <c r="W50" s="108"/>
      <c r="X50" s="108"/>
      <c r="Y50" s="106"/>
      <c r="Z50" s="106"/>
      <c r="AA50" s="106"/>
      <c r="AB50" s="106"/>
      <c r="AC50" s="106"/>
    </row>
    <row r="51" spans="8:29">
      <c r="H51" t="s">
        <v>225</v>
      </c>
      <c r="I51" t="s">
        <v>223</v>
      </c>
      <c r="J51">
        <v>1.92</v>
      </c>
      <c r="K51">
        <v>2.5</v>
      </c>
      <c r="R51" s="106"/>
      <c r="S51" s="106"/>
      <c r="T51" s="106"/>
      <c r="U51" s="106"/>
      <c r="V51" s="106"/>
      <c r="W51" s="108"/>
      <c r="X51" s="108"/>
      <c r="Y51" s="106"/>
      <c r="Z51" s="106"/>
      <c r="AA51" s="106"/>
      <c r="AB51" s="106"/>
      <c r="AC51" s="106"/>
    </row>
    <row r="52" spans="8:29">
      <c r="H52" t="s">
        <v>226</v>
      </c>
      <c r="I52" t="s">
        <v>220</v>
      </c>
      <c r="J52">
        <v>1</v>
      </c>
      <c r="K52">
        <v>1.53</v>
      </c>
      <c r="R52" s="106"/>
      <c r="S52" s="106"/>
      <c r="T52" s="106"/>
      <c r="U52" s="106"/>
      <c r="V52" s="106"/>
      <c r="W52" s="108"/>
      <c r="X52" s="108"/>
      <c r="Y52" s="106"/>
      <c r="Z52" s="106"/>
      <c r="AA52" s="106"/>
      <c r="AB52" s="106"/>
      <c r="AC52" s="106"/>
    </row>
    <row r="53" spans="8:29">
      <c r="H53" t="s">
        <v>226</v>
      </c>
      <c r="I53" t="s">
        <v>221</v>
      </c>
      <c r="J53">
        <v>1.53</v>
      </c>
      <c r="K53">
        <v>1.68</v>
      </c>
      <c r="R53" s="106"/>
      <c r="S53" s="106"/>
      <c r="T53" s="106"/>
      <c r="U53" s="106"/>
      <c r="V53" s="106"/>
      <c r="W53" s="108"/>
      <c r="X53" s="108"/>
      <c r="Y53" s="106"/>
      <c r="Z53" s="106"/>
      <c r="AA53" s="106"/>
      <c r="AB53" s="106"/>
      <c r="AC53" s="106"/>
    </row>
    <row r="54" spans="8:29">
      <c r="H54" t="s">
        <v>226</v>
      </c>
      <c r="I54" t="s">
        <v>222</v>
      </c>
      <c r="J54">
        <v>1.68</v>
      </c>
      <c r="K54">
        <v>1.85</v>
      </c>
      <c r="R54" s="106"/>
      <c r="S54" s="106"/>
      <c r="T54" s="106"/>
      <c r="U54" s="106"/>
      <c r="V54" s="106"/>
      <c r="W54" s="108"/>
      <c r="X54" s="108"/>
      <c r="Y54" s="106"/>
      <c r="Z54" s="106"/>
      <c r="AA54" s="106"/>
      <c r="AB54" s="106"/>
      <c r="AC54" s="106"/>
    </row>
    <row r="55" spans="8:29">
      <c r="H55" t="s">
        <v>226</v>
      </c>
      <c r="I55" t="s">
        <v>223</v>
      </c>
      <c r="J55">
        <v>1.85</v>
      </c>
      <c r="K55">
        <v>2.5</v>
      </c>
      <c r="R55" s="106"/>
      <c r="S55" s="106"/>
      <c r="T55" s="106"/>
      <c r="U55" s="106"/>
      <c r="V55" s="106"/>
      <c r="W55" s="108"/>
      <c r="X55" s="108"/>
      <c r="Y55" s="106"/>
      <c r="Z55" s="106"/>
      <c r="AA55" s="106"/>
      <c r="AB55" s="106"/>
      <c r="AC55" s="106"/>
    </row>
    <row r="56" spans="8:29">
      <c r="R56" s="106"/>
      <c r="S56" s="106"/>
      <c r="T56" s="106"/>
      <c r="U56" s="106"/>
      <c r="V56" s="106"/>
      <c r="W56" s="108"/>
      <c r="X56" s="108"/>
      <c r="Y56" s="106"/>
      <c r="Z56" s="106"/>
      <c r="AA56" s="106"/>
      <c r="AB56" s="106"/>
      <c r="AC56" s="106"/>
    </row>
    <row r="57" spans="8:29">
      <c r="R57" s="106"/>
      <c r="S57" s="106"/>
      <c r="T57" s="106"/>
      <c r="U57" s="106"/>
      <c r="V57" s="106"/>
      <c r="W57" s="108"/>
      <c r="X57" s="108"/>
      <c r="Y57" s="106"/>
      <c r="Z57" s="106"/>
      <c r="AA57" s="106"/>
      <c r="AB57" s="106"/>
      <c r="AC57" s="106"/>
    </row>
    <row r="58" spans="8:29">
      <c r="R58" s="106"/>
      <c r="S58" s="106"/>
      <c r="T58" s="106"/>
      <c r="U58" s="106"/>
      <c r="V58" s="106"/>
      <c r="W58" s="108"/>
      <c r="X58" s="108"/>
      <c r="Y58" s="106"/>
      <c r="Z58" s="106"/>
      <c r="AA58" s="106"/>
      <c r="AB58" s="106"/>
      <c r="AC58" s="106"/>
    </row>
    <row r="59" spans="8:29">
      <c r="R59" s="106"/>
      <c r="S59" s="106"/>
      <c r="T59" s="106"/>
      <c r="U59" s="106"/>
      <c r="V59" s="106"/>
      <c r="W59" s="108"/>
      <c r="X59" s="108"/>
      <c r="Y59" s="106"/>
      <c r="Z59" s="106"/>
      <c r="AA59" s="106"/>
      <c r="AB59" s="106"/>
      <c r="AC59" s="106"/>
    </row>
    <row r="60" spans="8:29">
      <c r="R60" s="106"/>
      <c r="S60" s="106"/>
      <c r="T60" s="106"/>
      <c r="U60" s="106"/>
      <c r="V60" s="106"/>
      <c r="W60" s="108"/>
      <c r="X60" s="108"/>
      <c r="Y60" s="106"/>
      <c r="Z60" s="106"/>
      <c r="AA60" s="106"/>
      <c r="AB60" s="106"/>
      <c r="AC60" s="106"/>
    </row>
    <row r="61" spans="8:29">
      <c r="R61" s="106"/>
      <c r="S61" s="106"/>
      <c r="T61" s="106"/>
      <c r="U61" s="106"/>
      <c r="V61" s="106"/>
      <c r="W61" s="108"/>
      <c r="X61" s="108"/>
      <c r="Y61" s="106"/>
      <c r="Z61" s="106"/>
      <c r="AA61" s="106"/>
      <c r="AB61" s="106"/>
      <c r="AC61" s="106"/>
    </row>
    <row r="62" spans="8:29">
      <c r="R62" s="106"/>
      <c r="S62" s="106"/>
      <c r="T62" s="106"/>
      <c r="U62" s="106"/>
      <c r="V62" s="106"/>
      <c r="W62" s="108"/>
      <c r="X62" s="108"/>
      <c r="Y62" s="106"/>
      <c r="Z62" s="106"/>
      <c r="AA62" s="106"/>
      <c r="AB62" s="106"/>
      <c r="AC62" s="106"/>
    </row>
    <row r="63" spans="8:29">
      <c r="R63" s="106"/>
      <c r="S63" s="106"/>
      <c r="T63" s="106"/>
      <c r="U63" s="106"/>
      <c r="V63" s="106"/>
      <c r="W63" s="108"/>
      <c r="X63" s="108"/>
      <c r="Y63" s="106"/>
      <c r="Z63" s="106"/>
      <c r="AA63" s="106"/>
      <c r="AB63" s="106"/>
      <c r="AC63" s="106"/>
    </row>
    <row r="64" spans="8:29">
      <c r="R64" s="106"/>
      <c r="S64" s="106"/>
      <c r="T64" s="106"/>
      <c r="U64" s="106"/>
      <c r="V64" s="106"/>
      <c r="W64" s="108"/>
      <c r="X64" s="108"/>
      <c r="Y64" s="106"/>
      <c r="Z64" s="106"/>
      <c r="AA64" s="106"/>
      <c r="AB64" s="106"/>
      <c r="AC64" s="106"/>
    </row>
    <row r="65" spans="18:29">
      <c r="R65" s="106"/>
      <c r="S65" s="106"/>
      <c r="T65" s="106"/>
      <c r="U65" s="106"/>
      <c r="V65" s="106"/>
      <c r="W65" s="108"/>
      <c r="X65" s="108"/>
      <c r="Y65" s="106"/>
      <c r="Z65" s="106"/>
      <c r="AA65" s="106"/>
      <c r="AB65" s="106"/>
      <c r="AC65" s="106"/>
    </row>
    <row r="66" spans="18:29">
      <c r="R66" s="106"/>
      <c r="S66" s="106"/>
      <c r="T66" s="106"/>
      <c r="U66" s="106"/>
      <c r="V66" s="106"/>
      <c r="W66" s="108"/>
      <c r="X66" s="108"/>
      <c r="Y66" s="106"/>
      <c r="Z66" s="106"/>
      <c r="AA66" s="106"/>
      <c r="AB66" s="106"/>
      <c r="AC66" s="106"/>
    </row>
    <row r="67" spans="18:29">
      <c r="R67" s="106"/>
      <c r="S67" s="106"/>
      <c r="T67" s="106"/>
      <c r="U67" s="106"/>
      <c r="V67" s="106"/>
      <c r="W67" s="108"/>
      <c r="X67" s="108"/>
      <c r="Y67" s="106"/>
      <c r="Z67" s="106"/>
      <c r="AA67" s="106"/>
      <c r="AB67" s="106"/>
      <c r="AC67" s="106"/>
    </row>
    <row r="68" spans="18:29">
      <c r="R68" s="106"/>
      <c r="S68" s="106"/>
      <c r="T68" s="106"/>
      <c r="U68" s="106"/>
      <c r="V68" s="106"/>
      <c r="W68" s="108"/>
      <c r="X68" s="108"/>
      <c r="Y68" s="106"/>
      <c r="Z68" s="106"/>
      <c r="AA68" s="106"/>
      <c r="AB68" s="106"/>
      <c r="AC68" s="106"/>
    </row>
    <row r="69" spans="18:29">
      <c r="R69" s="106"/>
      <c r="S69" s="106"/>
      <c r="T69" s="106"/>
      <c r="U69" s="106"/>
      <c r="V69" s="106"/>
      <c r="W69" s="108"/>
      <c r="X69" s="108"/>
      <c r="Y69" s="106"/>
      <c r="Z69" s="106"/>
      <c r="AA69" s="106"/>
      <c r="AB69" s="106"/>
      <c r="AC69" s="106"/>
    </row>
    <row r="70" spans="18:29">
      <c r="R70" s="106"/>
      <c r="S70" s="106"/>
      <c r="T70" s="106"/>
      <c r="U70" s="106"/>
      <c r="V70" s="106"/>
      <c r="W70" s="108"/>
      <c r="X70" s="108"/>
      <c r="Y70" s="106"/>
      <c r="Z70" s="106"/>
      <c r="AA70" s="106"/>
      <c r="AB70" s="106"/>
      <c r="AC70" s="106"/>
    </row>
    <row r="71" spans="18:29">
      <c r="R71" s="106"/>
      <c r="S71" s="106"/>
      <c r="T71" s="106"/>
      <c r="U71" s="106"/>
      <c r="V71" s="106"/>
      <c r="W71" s="108"/>
      <c r="X71" s="108"/>
      <c r="Y71" s="106"/>
      <c r="Z71" s="106"/>
      <c r="AA71" s="106"/>
      <c r="AB71" s="106"/>
      <c r="AC71" s="106"/>
    </row>
    <row r="72" spans="18:29">
      <c r="R72" s="106"/>
      <c r="S72" s="106"/>
      <c r="T72" s="106"/>
      <c r="U72" s="106"/>
      <c r="V72" s="106"/>
      <c r="W72" s="108"/>
      <c r="X72" s="108"/>
      <c r="Y72" s="106"/>
      <c r="Z72" s="106"/>
      <c r="AA72" s="106"/>
      <c r="AB72" s="106"/>
      <c r="AC72" s="106"/>
    </row>
    <row r="73" spans="18:29">
      <c r="R73" s="106"/>
      <c r="S73" s="106"/>
      <c r="T73" s="106"/>
      <c r="U73" s="106"/>
      <c r="V73" s="106"/>
      <c r="W73" s="108"/>
      <c r="X73" s="108"/>
      <c r="Y73" s="106"/>
      <c r="Z73" s="106"/>
      <c r="AA73" s="106"/>
      <c r="AB73" s="106"/>
      <c r="AC73" s="106"/>
    </row>
    <row r="74" spans="18:29">
      <c r="R74" s="106"/>
      <c r="S74" s="106"/>
      <c r="T74" s="106"/>
      <c r="U74" s="106"/>
      <c r="V74" s="106"/>
      <c r="W74" s="108"/>
      <c r="X74" s="108"/>
      <c r="Y74" s="106"/>
      <c r="Z74" s="106"/>
      <c r="AA74" s="106"/>
      <c r="AB74" s="106"/>
      <c r="AC74" s="106"/>
    </row>
    <row r="75" spans="18:29">
      <c r="R75" s="106"/>
      <c r="S75" s="106"/>
      <c r="T75" s="106"/>
      <c r="U75" s="106"/>
      <c r="V75" s="106"/>
      <c r="W75" s="108"/>
      <c r="X75" s="108"/>
      <c r="Y75" s="106"/>
      <c r="Z75" s="106"/>
      <c r="AA75" s="106"/>
      <c r="AB75" s="106"/>
      <c r="AC75" s="106"/>
    </row>
    <row r="76" spans="18:29">
      <c r="R76" s="106"/>
      <c r="S76" s="106"/>
      <c r="T76" s="106"/>
      <c r="U76" s="106"/>
      <c r="V76" s="106"/>
      <c r="W76" s="108"/>
      <c r="X76" s="108"/>
      <c r="Y76" s="106"/>
      <c r="Z76" s="106"/>
      <c r="AA76" s="106"/>
      <c r="AB76" s="106"/>
      <c r="AC76" s="106"/>
    </row>
    <row r="77" spans="18:29">
      <c r="R77" s="106"/>
      <c r="S77" s="106"/>
      <c r="T77" s="106"/>
      <c r="U77" s="106"/>
      <c r="V77" s="106"/>
      <c r="W77" s="108"/>
      <c r="X77" s="108"/>
      <c r="Y77" s="106"/>
      <c r="Z77" s="106"/>
      <c r="AA77" s="106"/>
      <c r="AB77" s="106"/>
      <c r="AC77" s="106"/>
    </row>
    <row r="78" spans="18:29">
      <c r="R78" s="106"/>
      <c r="S78" s="106"/>
      <c r="T78" s="106"/>
      <c r="U78" s="106"/>
      <c r="V78" s="106"/>
      <c r="W78" s="108"/>
      <c r="X78" s="108"/>
      <c r="Y78" s="106"/>
      <c r="Z78" s="106"/>
      <c r="AA78" s="106"/>
      <c r="AB78" s="106"/>
      <c r="AC78" s="106"/>
    </row>
    <row r="79" spans="18:29">
      <c r="R79" s="106"/>
      <c r="S79" s="106"/>
      <c r="T79" s="106"/>
      <c r="U79" s="106"/>
      <c r="V79" s="106"/>
      <c r="W79" s="108"/>
      <c r="X79" s="108"/>
      <c r="Y79" s="106"/>
      <c r="Z79" s="106"/>
      <c r="AA79" s="106"/>
      <c r="AB79" s="106"/>
      <c r="AC79" s="106"/>
    </row>
    <row r="80" spans="18:29">
      <c r="R80" s="106"/>
      <c r="S80" s="106"/>
      <c r="T80" s="106"/>
      <c r="U80" s="106"/>
      <c r="V80" s="106"/>
      <c r="W80" s="108"/>
      <c r="X80" s="108"/>
      <c r="Y80" s="106"/>
      <c r="Z80" s="106"/>
      <c r="AA80" s="106"/>
      <c r="AB80" s="106"/>
      <c r="AC80" s="106"/>
    </row>
    <row r="81" spans="18:29">
      <c r="R81" s="106"/>
      <c r="S81" s="106"/>
      <c r="T81" s="106"/>
      <c r="U81" s="106"/>
      <c r="V81" s="106"/>
      <c r="W81" s="108"/>
      <c r="X81" s="108"/>
      <c r="Y81" s="106"/>
      <c r="Z81" s="106"/>
      <c r="AA81" s="106"/>
      <c r="AB81" s="106"/>
      <c r="AC81" s="106"/>
    </row>
    <row r="82" spans="18:29">
      <c r="R82" s="106"/>
      <c r="S82" s="106"/>
      <c r="T82" s="106"/>
      <c r="U82" s="106"/>
      <c r="V82" s="106"/>
      <c r="W82" s="108"/>
      <c r="X82" s="108"/>
      <c r="Y82" s="106"/>
      <c r="Z82" s="106"/>
      <c r="AA82" s="106"/>
      <c r="AB82" s="106"/>
      <c r="AC82" s="106"/>
    </row>
    <row r="83" spans="18:29">
      <c r="R83" s="106"/>
      <c r="S83" s="106"/>
      <c r="T83" s="106"/>
      <c r="U83" s="106"/>
      <c r="V83" s="106"/>
      <c r="W83" s="108"/>
      <c r="X83" s="108"/>
      <c r="Y83" s="106"/>
      <c r="Z83" s="106"/>
      <c r="AA83" s="106"/>
      <c r="AB83" s="106"/>
      <c r="AC83" s="106"/>
    </row>
    <row r="84" spans="18:29">
      <c r="R84" s="106"/>
      <c r="S84" s="106"/>
      <c r="T84" s="106"/>
      <c r="U84" s="106"/>
      <c r="V84" s="106"/>
      <c r="W84" s="108"/>
      <c r="X84" s="108"/>
      <c r="Y84" s="106"/>
      <c r="Z84" s="106"/>
      <c r="AA84" s="106"/>
      <c r="AB84" s="106"/>
      <c r="AC84" s="106"/>
    </row>
    <row r="85" spans="18:29">
      <c r="R85" s="106"/>
      <c r="S85" s="106"/>
      <c r="T85" s="106"/>
      <c r="U85" s="106"/>
      <c r="V85" s="106"/>
      <c r="W85" s="108"/>
      <c r="X85" s="108"/>
      <c r="Y85" s="106"/>
      <c r="Z85" s="106"/>
      <c r="AA85" s="106"/>
      <c r="AB85" s="106"/>
      <c r="AC85" s="106"/>
    </row>
    <row r="86" spans="18:29">
      <c r="R86" s="106"/>
      <c r="S86" s="106"/>
      <c r="T86" s="106"/>
      <c r="U86" s="106"/>
      <c r="V86" s="106"/>
      <c r="W86" s="108"/>
      <c r="X86" s="108"/>
      <c r="Y86" s="106"/>
      <c r="Z86" s="106"/>
      <c r="AA86" s="106"/>
      <c r="AB86" s="106"/>
      <c r="AC86" s="106"/>
    </row>
    <row r="87" spans="18:29">
      <c r="R87" s="106"/>
      <c r="S87" s="106"/>
      <c r="T87" s="106"/>
      <c r="U87" s="106"/>
      <c r="V87" s="106"/>
      <c r="W87" s="108"/>
      <c r="X87" s="108"/>
      <c r="Y87" s="106"/>
      <c r="Z87" s="106"/>
      <c r="AA87" s="106"/>
      <c r="AB87" s="106"/>
      <c r="AC87" s="106"/>
    </row>
    <row r="88" spans="18:29">
      <c r="R88" s="106"/>
      <c r="S88" s="106"/>
      <c r="T88" s="106"/>
      <c r="U88" s="106"/>
      <c r="V88" s="106"/>
      <c r="W88" s="108"/>
      <c r="X88" s="108"/>
      <c r="Y88" s="106"/>
      <c r="Z88" s="106"/>
      <c r="AA88" s="106"/>
      <c r="AB88" s="106"/>
      <c r="AC88" s="106"/>
    </row>
    <row r="89" spans="18:29">
      <c r="R89" s="106"/>
      <c r="S89" s="106"/>
      <c r="T89" s="106"/>
      <c r="U89" s="106"/>
      <c r="V89" s="106"/>
      <c r="W89" s="108"/>
      <c r="X89" s="108"/>
      <c r="Y89" s="106"/>
      <c r="Z89" s="106"/>
      <c r="AA89" s="106"/>
      <c r="AB89" s="106"/>
      <c r="AC89" s="106"/>
    </row>
    <row r="90" spans="18:29">
      <c r="R90" s="106"/>
      <c r="S90" s="106"/>
      <c r="T90" s="106"/>
      <c r="U90" s="106"/>
      <c r="V90" s="106"/>
      <c r="W90" s="108"/>
      <c r="X90" s="108"/>
      <c r="Y90" s="106"/>
      <c r="Z90" s="106"/>
      <c r="AA90" s="106"/>
      <c r="AB90" s="106"/>
      <c r="AC90" s="106"/>
    </row>
    <row r="91" spans="18:29">
      <c r="R91" s="106"/>
      <c r="S91" s="106"/>
      <c r="T91" s="106"/>
      <c r="U91" s="106"/>
      <c r="V91" s="106"/>
      <c r="W91" s="108"/>
      <c r="X91" s="108"/>
      <c r="Y91" s="106"/>
      <c r="Z91" s="106"/>
      <c r="AA91" s="106"/>
      <c r="AB91" s="106"/>
      <c r="AC91" s="106"/>
    </row>
    <row r="92" spans="18:29">
      <c r="R92" s="106"/>
      <c r="S92" s="106"/>
      <c r="T92" s="106"/>
      <c r="U92" s="106"/>
      <c r="V92" s="106"/>
      <c r="W92" s="108"/>
      <c r="X92" s="108"/>
      <c r="Y92" s="106"/>
      <c r="Z92" s="106"/>
      <c r="AA92" s="106"/>
      <c r="AB92" s="106"/>
      <c r="AC92" s="106"/>
    </row>
    <row r="93" spans="18:29">
      <c r="R93" s="106"/>
      <c r="S93" s="106"/>
      <c r="T93" s="106"/>
      <c r="U93" s="106"/>
      <c r="V93" s="106"/>
      <c r="W93" s="108"/>
      <c r="X93" s="108"/>
      <c r="Y93" s="106"/>
      <c r="Z93" s="106"/>
      <c r="AA93" s="106"/>
      <c r="AB93" s="106"/>
      <c r="AC93" s="106"/>
    </row>
    <row r="94" spans="18:29">
      <c r="R94" s="106"/>
      <c r="S94" s="106"/>
      <c r="T94" s="106"/>
      <c r="U94" s="106"/>
      <c r="V94" s="106"/>
      <c r="W94" s="108"/>
      <c r="X94" s="108"/>
      <c r="Y94" s="106"/>
      <c r="Z94" s="106"/>
      <c r="AA94" s="106"/>
      <c r="AB94" s="106"/>
      <c r="AC94" s="106"/>
    </row>
    <row r="95" spans="18:29">
      <c r="R95" s="106"/>
      <c r="S95" s="106"/>
      <c r="T95" s="106"/>
      <c r="U95" s="106"/>
      <c r="V95" s="106"/>
      <c r="W95" s="108"/>
      <c r="X95" s="108"/>
      <c r="Y95" s="106"/>
      <c r="Z95" s="106"/>
      <c r="AA95" s="106"/>
      <c r="AB95" s="106"/>
      <c r="AC95" s="106"/>
    </row>
    <row r="96" spans="18:29">
      <c r="R96" s="106"/>
      <c r="S96" s="106"/>
      <c r="T96" s="106"/>
      <c r="U96" s="106"/>
      <c r="V96" s="106"/>
      <c r="W96" s="108"/>
      <c r="X96" s="108"/>
      <c r="Y96" s="106"/>
      <c r="Z96" s="106"/>
      <c r="AA96" s="106"/>
      <c r="AB96" s="106"/>
      <c r="AC96" s="106"/>
    </row>
    <row r="97" spans="18:29">
      <c r="R97" s="106"/>
      <c r="S97" s="106"/>
      <c r="T97" s="106"/>
      <c r="U97" s="106"/>
      <c r="V97" s="106"/>
      <c r="W97" s="108"/>
      <c r="X97" s="108"/>
      <c r="Y97" s="106"/>
      <c r="Z97" s="106"/>
      <c r="AA97" s="106"/>
      <c r="AB97" s="106"/>
      <c r="AC97" s="106"/>
    </row>
    <row r="98" spans="18:29">
      <c r="R98" s="106"/>
      <c r="S98" s="106"/>
      <c r="T98" s="106"/>
      <c r="U98" s="106"/>
      <c r="V98" s="106"/>
      <c r="W98" s="108"/>
      <c r="X98" s="108"/>
      <c r="Y98" s="106"/>
      <c r="Z98" s="106"/>
      <c r="AA98" s="106"/>
      <c r="AB98" s="106"/>
      <c r="AC98" s="106"/>
    </row>
    <row r="99" spans="18:29">
      <c r="R99" s="106"/>
      <c r="S99" s="106"/>
      <c r="T99" s="106"/>
      <c r="U99" s="106"/>
      <c r="V99" s="106"/>
      <c r="W99" s="108"/>
      <c r="X99" s="108"/>
      <c r="Y99" s="106"/>
      <c r="Z99" s="106"/>
      <c r="AA99" s="106"/>
      <c r="AB99" s="106"/>
      <c r="AC99" s="106"/>
    </row>
    <row r="100" spans="18:29">
      <c r="R100" s="106"/>
      <c r="S100" s="106"/>
      <c r="T100" s="106"/>
      <c r="U100" s="106"/>
      <c r="V100" s="106"/>
      <c r="W100" s="108"/>
      <c r="X100" s="108"/>
      <c r="Y100" s="106"/>
      <c r="Z100" s="106"/>
      <c r="AA100" s="106"/>
      <c r="AB100" s="106"/>
      <c r="AC100" s="106"/>
    </row>
    <row r="101" spans="18:29">
      <c r="R101" s="106"/>
      <c r="S101" s="106"/>
      <c r="T101" s="106"/>
      <c r="U101" s="106"/>
      <c r="V101" s="106"/>
      <c r="W101" s="108"/>
      <c r="X101" s="108"/>
      <c r="Y101" s="106"/>
      <c r="Z101" s="106"/>
      <c r="AA101" s="106"/>
      <c r="AB101" s="106"/>
      <c r="AC101" s="106"/>
    </row>
    <row r="102" spans="18:29">
      <c r="R102" s="106"/>
      <c r="S102" s="106"/>
      <c r="T102" s="106"/>
      <c r="U102" s="106"/>
      <c r="V102" s="106"/>
      <c r="W102" s="108"/>
      <c r="X102" s="108"/>
      <c r="Y102" s="106"/>
      <c r="Z102" s="106"/>
      <c r="AA102" s="106"/>
      <c r="AB102" s="106"/>
      <c r="AC102" s="106"/>
    </row>
    <row r="103" spans="18:29">
      <c r="R103" s="106"/>
      <c r="S103" s="106"/>
      <c r="T103" s="106"/>
      <c r="U103" s="106"/>
      <c r="V103" s="106"/>
      <c r="W103" s="108"/>
      <c r="X103" s="108"/>
      <c r="Y103" s="106"/>
      <c r="Z103" s="106"/>
      <c r="AA103" s="106"/>
      <c r="AB103" s="106"/>
      <c r="AC103" s="106"/>
    </row>
    <row r="104" spans="18:29">
      <c r="R104" s="106"/>
      <c r="S104" s="106"/>
      <c r="T104" s="106"/>
      <c r="U104" s="106"/>
      <c r="V104" s="106"/>
      <c r="W104" s="108"/>
      <c r="X104" s="108"/>
      <c r="Y104" s="106"/>
      <c r="Z104" s="106"/>
      <c r="AA104" s="106"/>
      <c r="AB104" s="106"/>
      <c r="AC104" s="106"/>
    </row>
    <row r="105" spans="18:29">
      <c r="R105" s="106"/>
      <c r="S105" s="106"/>
      <c r="T105" s="106"/>
      <c r="U105" s="106"/>
      <c r="V105" s="106"/>
      <c r="W105" s="108"/>
      <c r="X105" s="108"/>
      <c r="Y105" s="106"/>
      <c r="Z105" s="106"/>
      <c r="AA105" s="106"/>
      <c r="AB105" s="106"/>
      <c r="AC105" s="106"/>
    </row>
    <row r="106" spans="18:29">
      <c r="R106" s="106"/>
      <c r="S106" s="106"/>
      <c r="T106" s="106"/>
      <c r="U106" s="106"/>
      <c r="V106" s="106"/>
      <c r="W106" s="108"/>
      <c r="X106" s="108"/>
      <c r="Y106" s="106"/>
      <c r="Z106" s="106"/>
      <c r="AA106" s="106"/>
      <c r="AB106" s="106"/>
      <c r="AC106" s="106"/>
    </row>
    <row r="107" spans="18:29">
      <c r="R107" s="106"/>
      <c r="S107" s="106"/>
      <c r="T107" s="106"/>
      <c r="U107" s="106"/>
      <c r="V107" s="106"/>
      <c r="W107" s="108"/>
      <c r="X107" s="108"/>
      <c r="Y107" s="106"/>
      <c r="Z107" s="106"/>
      <c r="AA107" s="106"/>
      <c r="AB107" s="106"/>
      <c r="AC107" s="106"/>
    </row>
    <row r="108" spans="18:29">
      <c r="R108" s="106"/>
      <c r="S108" s="106"/>
      <c r="T108" s="106"/>
      <c r="U108" s="106"/>
      <c r="V108" s="106"/>
      <c r="W108" s="108"/>
      <c r="X108" s="108"/>
      <c r="Y108" s="106"/>
      <c r="Z108" s="106"/>
      <c r="AA108" s="106"/>
      <c r="AB108" s="106"/>
      <c r="AC108" s="106"/>
    </row>
    <row r="109" spans="18:29">
      <c r="R109" s="106"/>
      <c r="S109" s="106"/>
      <c r="T109" s="106"/>
      <c r="U109" s="106"/>
      <c r="V109" s="106"/>
      <c r="W109" s="108"/>
      <c r="X109" s="108"/>
      <c r="Y109" s="106"/>
      <c r="Z109" s="106"/>
      <c r="AA109" s="106"/>
      <c r="AB109" s="106"/>
      <c r="AC109" s="106"/>
    </row>
    <row r="110" spans="18:29">
      <c r="R110" s="106"/>
      <c r="S110" s="106"/>
      <c r="T110" s="106"/>
      <c r="U110" s="106"/>
      <c r="V110" s="106"/>
      <c r="W110" s="108"/>
      <c r="X110" s="108"/>
      <c r="Y110" s="106"/>
      <c r="Z110" s="106"/>
      <c r="AA110" s="106"/>
      <c r="AB110" s="106"/>
      <c r="AC110" s="106"/>
    </row>
    <row r="111" spans="18:29">
      <c r="R111" s="106"/>
      <c r="S111" s="106"/>
      <c r="T111" s="106"/>
      <c r="U111" s="106"/>
      <c r="V111" s="106"/>
      <c r="W111" s="108"/>
      <c r="X111" s="108"/>
      <c r="Y111" s="106"/>
      <c r="Z111" s="106"/>
      <c r="AA111" s="106"/>
      <c r="AB111" s="106"/>
      <c r="AC111" s="106"/>
    </row>
    <row r="112" spans="18:29">
      <c r="R112" s="106"/>
      <c r="S112" s="106"/>
      <c r="T112" s="106"/>
      <c r="U112" s="106"/>
      <c r="V112" s="106"/>
      <c r="W112" s="108"/>
      <c r="X112" s="108"/>
      <c r="Y112" s="106"/>
      <c r="Z112" s="106"/>
      <c r="AA112" s="106"/>
      <c r="AB112" s="106"/>
      <c r="AC112" s="106"/>
    </row>
    <row r="113" spans="18:29">
      <c r="R113" s="106"/>
      <c r="S113" s="106"/>
      <c r="T113" s="106"/>
      <c r="U113" s="106"/>
      <c r="V113" s="106"/>
      <c r="W113" s="108"/>
      <c r="X113" s="108"/>
      <c r="Y113" s="106"/>
      <c r="Z113" s="106"/>
      <c r="AA113" s="106"/>
      <c r="AB113" s="106"/>
      <c r="AC113" s="106"/>
    </row>
    <row r="114" spans="18:29">
      <c r="R114" s="106"/>
      <c r="S114" s="106"/>
      <c r="T114" s="106"/>
      <c r="U114" s="106"/>
      <c r="V114" s="106"/>
      <c r="W114" s="108"/>
      <c r="X114" s="108"/>
      <c r="Y114" s="106"/>
      <c r="Z114" s="106"/>
      <c r="AA114" s="106"/>
      <c r="AB114" s="106"/>
      <c r="AC114" s="106"/>
    </row>
    <row r="115" spans="18:29">
      <c r="R115" s="106"/>
      <c r="S115" s="106"/>
      <c r="T115" s="106"/>
      <c r="U115" s="106"/>
      <c r="V115" s="106"/>
      <c r="W115" s="108"/>
      <c r="X115" s="108"/>
      <c r="Y115" s="106"/>
      <c r="Z115" s="106"/>
      <c r="AA115" s="106"/>
      <c r="AB115" s="106"/>
      <c r="AC115" s="106"/>
    </row>
    <row r="116" spans="18:29">
      <c r="R116" s="106"/>
      <c r="S116" s="106"/>
      <c r="T116" s="106"/>
      <c r="U116" s="106"/>
      <c r="V116" s="106"/>
      <c r="W116" s="108"/>
      <c r="X116" s="108"/>
      <c r="Y116" s="106"/>
      <c r="Z116" s="106"/>
      <c r="AA116" s="106"/>
      <c r="AB116" s="106"/>
      <c r="AC116" s="106"/>
    </row>
    <row r="117" spans="18:29">
      <c r="R117" s="106"/>
      <c r="S117" s="106"/>
      <c r="T117" s="106"/>
      <c r="U117" s="106"/>
      <c r="V117" s="106"/>
      <c r="W117" s="108"/>
      <c r="X117" s="108"/>
      <c r="Y117" s="106"/>
      <c r="Z117" s="106"/>
      <c r="AA117" s="106"/>
      <c r="AB117" s="106"/>
      <c r="AC117" s="106"/>
    </row>
    <row r="118" spans="18:29">
      <c r="R118" s="106"/>
      <c r="S118" s="106"/>
      <c r="T118" s="106"/>
      <c r="U118" s="106"/>
      <c r="V118" s="106"/>
      <c r="W118" s="108"/>
      <c r="X118" s="108"/>
      <c r="Y118" s="106"/>
      <c r="Z118" s="106"/>
      <c r="AA118" s="106"/>
      <c r="AB118" s="106"/>
      <c r="AC118" s="106"/>
    </row>
    <row r="119" spans="18:29">
      <c r="R119" s="106"/>
      <c r="S119" s="106"/>
      <c r="T119" s="106"/>
      <c r="U119" s="106"/>
      <c r="V119" s="106"/>
      <c r="W119" s="108"/>
      <c r="X119" s="108"/>
      <c r="Y119" s="106"/>
      <c r="Z119" s="106"/>
      <c r="AA119" s="106"/>
      <c r="AB119" s="106"/>
      <c r="AC119" s="106"/>
    </row>
    <row r="120" spans="18:29">
      <c r="R120" s="106"/>
      <c r="S120" s="106"/>
      <c r="T120" s="106"/>
      <c r="U120" s="106"/>
      <c r="V120" s="106"/>
      <c r="W120" s="108"/>
      <c r="X120" s="108"/>
      <c r="Y120" s="106"/>
      <c r="Z120" s="106"/>
      <c r="AA120" s="106"/>
      <c r="AB120" s="106"/>
      <c r="AC120" s="106"/>
    </row>
    <row r="121" spans="18:29">
      <c r="R121" s="106"/>
      <c r="S121" s="106"/>
      <c r="T121" s="106"/>
      <c r="U121" s="106"/>
      <c r="V121" s="106"/>
      <c r="W121" s="108"/>
      <c r="X121" s="108"/>
      <c r="Y121" s="106"/>
      <c r="Z121" s="106"/>
      <c r="AA121" s="106"/>
      <c r="AB121" s="106"/>
      <c r="AC121" s="106"/>
    </row>
    <row r="122" spans="18:29">
      <c r="R122" s="106"/>
      <c r="S122" s="106"/>
      <c r="T122" s="106"/>
      <c r="U122" s="106"/>
      <c r="V122" s="106"/>
      <c r="W122" s="108"/>
      <c r="X122" s="108"/>
      <c r="Y122" s="106"/>
      <c r="Z122" s="106"/>
      <c r="AA122" s="106"/>
      <c r="AB122" s="106"/>
      <c r="AC122" s="106"/>
    </row>
    <row r="123" spans="18:29">
      <c r="R123" s="106"/>
      <c r="S123" s="106"/>
      <c r="T123" s="106"/>
      <c r="U123" s="106"/>
      <c r="V123" s="106"/>
      <c r="W123" s="108"/>
      <c r="X123" s="108"/>
      <c r="Y123" s="106"/>
      <c r="Z123" s="106"/>
      <c r="AA123" s="106"/>
      <c r="AB123" s="106"/>
      <c r="AC123" s="106"/>
    </row>
    <row r="124" spans="18:29">
      <c r="R124" s="108"/>
      <c r="S124" s="106"/>
      <c r="T124" s="106"/>
      <c r="U124" s="106"/>
      <c r="V124" s="106"/>
      <c r="W124" s="111"/>
      <c r="X124" s="108"/>
      <c r="Y124" s="106"/>
      <c r="Z124" s="106"/>
      <c r="AA124" s="106"/>
      <c r="AB124" s="106"/>
      <c r="AC124" s="106"/>
    </row>
    <row r="125" spans="18:29">
      <c r="R125" s="108"/>
      <c r="S125" s="106"/>
      <c r="T125" s="106"/>
      <c r="U125" s="106"/>
      <c r="V125" s="106"/>
      <c r="W125" s="111"/>
      <c r="X125" s="108"/>
      <c r="Y125" s="106"/>
      <c r="Z125" s="106"/>
      <c r="AA125" s="106"/>
      <c r="AB125" s="106"/>
      <c r="AC125" s="106"/>
    </row>
    <row r="126" spans="18:29">
      <c r="R126" s="108"/>
      <c r="S126" s="106"/>
      <c r="T126" s="106"/>
      <c r="U126" s="106"/>
      <c r="V126" s="106"/>
      <c r="W126" s="111"/>
      <c r="X126" s="108"/>
      <c r="Y126" s="106"/>
      <c r="Z126" s="106"/>
      <c r="AA126" s="106"/>
      <c r="AB126" s="106"/>
      <c r="AC126" s="106"/>
    </row>
    <row r="127" spans="18:29">
      <c r="S127" s="106"/>
      <c r="T127" s="106"/>
      <c r="U127" s="106"/>
      <c r="V127" s="106"/>
      <c r="Y127" s="106"/>
      <c r="Z127" s="106"/>
      <c r="AA127" s="106"/>
      <c r="AB127" s="106"/>
      <c r="AC127" s="106"/>
    </row>
    <row r="128" spans="18:29">
      <c r="T128" s="106"/>
      <c r="U128" s="106"/>
    </row>
  </sheetData>
  <sheetProtection algorithmName="SHA-512" hashValue="r3GcQEHYU/femXqE4O8xzuoV6Mru8Y9+EZ+zc092zQThmNMnhEXZTU43JTr97/Gr7VLJ73JU58iGPsbYsZLzPw==" saltValue="ndPAg+GCBjhygH/+p5kwTQ==" spinCount="100000" sheet="1" objects="1" scenarios="1" selectLockedCells="1"/>
  <protectedRanges>
    <protectedRange sqref="U14:U18" name="Range1"/>
  </protectedRanges>
  <mergeCells count="4">
    <mergeCell ref="T3:U10"/>
    <mergeCell ref="T2:U2"/>
    <mergeCell ref="T11:U11"/>
    <mergeCell ref="T12:U12"/>
  </mergeCells>
  <conditionalFormatting sqref="V16:V17">
    <cfRule type="notContainsBlanks" dxfId="2" priority="5">
      <formula>LEN(TRIM(V16))&gt;0</formula>
    </cfRule>
  </conditionalFormatting>
  <conditionalFormatting sqref="V19:V20">
    <cfRule type="notContainsBlanks" dxfId="1" priority="3">
      <formula>LEN(TRIM(V19))&gt;0</formula>
    </cfRule>
  </conditionalFormatting>
  <conditionalFormatting sqref="V2:W6 W7 V8:W12 V13:V14">
    <cfRule type="notContainsBlanks" dxfId="0" priority="7">
      <formula>LEN(TRIM(V2))&gt;0</formula>
    </cfRule>
  </conditionalFormatting>
  <dataValidations xWindow="945" yWindow="341" count="6">
    <dataValidation type="list" allowBlank="1" showInputMessage="1" showErrorMessage="1" errorTitle="Erro no valor" promptTitle="Selecione M ou F" sqref="U14" xr:uid="{7E2C4B55-2388-4B5C-8D7C-7FD5125E08A1}">
      <formula1>$E$11:$E$12</formula1>
    </dataValidation>
    <dataValidation type="list" allowBlank="1" showInputMessage="1" showErrorMessage="1" promptTitle="Gestante?" prompt="Insira &quot;S&quot; para Sim e &quot;N&quot; para Não." sqref="U26" xr:uid="{BF692670-369A-4E78-AB44-A01ADDE5757C}">
      <formula1>$F$27:$F$28</formula1>
    </dataValidation>
    <dataValidation type="whole" allowBlank="1" showInputMessage="1" showErrorMessage="1" errorTitle="Idade inválida" promptTitle="Idade do paciente" sqref="U15" xr:uid="{19B47C0E-AD7D-4B7B-9EF0-D54979460523}">
      <formula1>0</formula1>
      <formula2>99</formula2>
    </dataValidation>
    <dataValidation type="list" allowBlank="1" showInputMessage="1" showErrorMessage="1" errorTitle="Entrada inválida" promptTitle="Insira somente uma das opções" sqref="U18" xr:uid="{B91C2910-B364-4EE3-98B6-74A8018E4687}">
      <formula1>$H$4:$H$7</formula1>
    </dataValidation>
    <dataValidation type="whole" allowBlank="1" showInputMessage="1" showErrorMessage="1" errorTitle="Altura em centimetros" error="Insira a altura em centímetros" promptTitle="Altura em centimetros" sqref="U17" xr:uid="{4B315347-93C7-4484-B4A7-8549734EF144}">
      <formula1>3</formula1>
      <formula2>260</formula2>
    </dataValidation>
    <dataValidation type="decimal" allowBlank="1" showInputMessage="1" showErrorMessage="1" errorTitle="Peso em Quilogramas" error="Peso deve ser em Quilogramas" sqref="U16" xr:uid="{16B51FB6-759A-480B-8CC2-9110F0BC69A3}">
      <formula1>0</formula1>
      <formula2>200</formula2>
    </dataValidation>
  </dataValidations>
  <pageMargins left="0.7" right="0.7" top="0.75" bottom="0.75" header="0.3" footer="0.3"/>
  <pageSetup paperSize="9" orientation="portrait" horizontalDpi="4294967293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7030A0"/>
  </sheetPr>
  <dimension ref="A8:P85"/>
  <sheetViews>
    <sheetView zoomScale="85" zoomScaleNormal="85" workbookViewId="0">
      <selection activeCell="D13" sqref="D13"/>
    </sheetView>
  </sheetViews>
  <sheetFormatPr defaultColWidth="8.77734375" defaultRowHeight="14.4"/>
  <cols>
    <col min="1" max="1" width="19.77734375" bestFit="1" customWidth="1"/>
    <col min="2" max="2" width="9.44140625" bestFit="1" customWidth="1"/>
    <col min="4" max="4" width="15.6640625" bestFit="1" customWidth="1"/>
    <col min="5" max="5" width="27.109375" customWidth="1"/>
    <col min="6" max="6" width="9.33203125" bestFit="1" customWidth="1"/>
    <col min="7" max="7" width="10.44140625" bestFit="1" customWidth="1"/>
    <col min="9" max="9" width="12.33203125" bestFit="1" customWidth="1"/>
    <col min="12" max="12" width="17.77734375" customWidth="1"/>
    <col min="15" max="15" width="17.6640625" customWidth="1"/>
  </cols>
  <sheetData>
    <row r="8" spans="1:16" ht="22.8">
      <c r="A8" s="244"/>
      <c r="B8" s="244"/>
      <c r="C8" s="244"/>
      <c r="D8" s="244"/>
      <c r="E8" s="244"/>
      <c r="F8" s="244"/>
      <c r="G8" s="244"/>
      <c r="H8" s="244"/>
      <c r="I8" s="244"/>
      <c r="J8" s="244"/>
      <c r="K8" s="244"/>
    </row>
    <row r="9" spans="1:16" ht="27" customHeight="1" thickBot="1">
      <c r="A9" s="195" t="s">
        <v>0</v>
      </c>
      <c r="B9" s="195"/>
      <c r="C9" s="195"/>
      <c r="D9" s="195"/>
      <c r="E9" s="195"/>
      <c r="F9" s="195"/>
      <c r="G9" s="195"/>
      <c r="I9" s="196"/>
      <c r="J9" s="196"/>
      <c r="K9" s="196"/>
      <c r="L9" s="196"/>
    </row>
    <row r="10" spans="1:16" ht="23.4" thickTop="1">
      <c r="A10" s="245" t="s">
        <v>1</v>
      </c>
      <c r="B10" s="246"/>
      <c r="C10" s="246"/>
      <c r="D10" s="247"/>
      <c r="E10" s="2"/>
      <c r="F10" s="2"/>
      <c r="P10" s="148"/>
    </row>
    <row r="11" spans="1:16" ht="15" customHeight="1">
      <c r="A11" s="242" t="s">
        <v>5</v>
      </c>
      <c r="B11" s="243"/>
      <c r="C11" s="243"/>
      <c r="D11" s="85"/>
      <c r="E11" s="3"/>
      <c r="F11" s="3"/>
      <c r="I11" s="38"/>
      <c r="P11" s="148"/>
    </row>
    <row r="12" spans="1:16" ht="15" customHeight="1">
      <c r="A12" s="240" t="s">
        <v>9</v>
      </c>
      <c r="B12" s="241"/>
      <c r="C12" s="241"/>
      <c r="D12" s="86"/>
      <c r="E12" s="3"/>
      <c r="F12" s="3"/>
      <c r="I12" s="37"/>
      <c r="P12" s="148"/>
    </row>
    <row r="13" spans="1:16" ht="15" customHeight="1">
      <c r="A13" s="242" t="s">
        <v>52</v>
      </c>
      <c r="B13" s="243"/>
      <c r="C13" s="243"/>
      <c r="D13" s="85"/>
      <c r="E13" s="3"/>
      <c r="F13" s="3"/>
      <c r="I13" s="37"/>
      <c r="P13" s="148"/>
    </row>
    <row r="14" spans="1:16" ht="15" customHeight="1">
      <c r="A14" s="51" t="s">
        <v>234</v>
      </c>
      <c r="B14" s="52"/>
      <c r="C14" s="52"/>
      <c r="D14" s="87"/>
      <c r="E14" s="3"/>
      <c r="F14" s="3"/>
      <c r="I14" s="37"/>
      <c r="P14" s="148"/>
    </row>
    <row r="15" spans="1:16" ht="16.8" thickBot="1">
      <c r="A15" s="248" t="s">
        <v>235</v>
      </c>
      <c r="B15" s="249"/>
      <c r="C15" s="249"/>
      <c r="D15" s="60" t="e">
        <f>D13/(POWER(D12,2))</f>
        <v>#DIV/0!</v>
      </c>
      <c r="E15" s="3"/>
      <c r="F15" s="3"/>
      <c r="I15" s="37"/>
      <c r="P15" s="148"/>
    </row>
    <row r="16" spans="1:16" ht="15" thickTop="1">
      <c r="A16" s="250"/>
      <c r="B16" s="250"/>
      <c r="C16" s="250"/>
      <c r="I16" s="37"/>
    </row>
    <row r="18" spans="1:6" ht="19.8">
      <c r="A18" s="186" t="s">
        <v>55</v>
      </c>
      <c r="B18" s="186"/>
      <c r="C18" s="186"/>
      <c r="D18" s="186"/>
      <c r="E18" s="186"/>
      <c r="F18" s="186"/>
    </row>
    <row r="19" spans="1:6" ht="19.8">
      <c r="A19" s="186" t="s">
        <v>87</v>
      </c>
      <c r="B19" s="186"/>
      <c r="C19" s="186"/>
      <c r="D19" s="186"/>
      <c r="E19" s="186"/>
      <c r="F19" s="186"/>
    </row>
    <row r="21" spans="1:6">
      <c r="A21" s="17" t="s">
        <v>236</v>
      </c>
      <c r="B21" s="17" t="s">
        <v>30</v>
      </c>
    </row>
    <row r="22" spans="1:6">
      <c r="A22" t="s">
        <v>237</v>
      </c>
      <c r="B22" s="14" t="e">
        <f>IF(D15&lt;25,IF(D14=2,((255)-(2.35*D11)+(361.6*D12+9.39*D13))))</f>
        <v>#DIV/0!</v>
      </c>
    </row>
    <row r="25" spans="1:6">
      <c r="A25" s="15" t="s">
        <v>238</v>
      </c>
      <c r="B25" s="15" t="s">
        <v>30</v>
      </c>
    </row>
    <row r="26" spans="1:6">
      <c r="A26" t="s">
        <v>237</v>
      </c>
      <c r="B26" s="14" t="e">
        <f>IF(D15&lt;25,IF(D14=1,((204)-(4*D11)+(450.5*D12+11.69*D13))))</f>
        <v>#DIV/0!</v>
      </c>
    </row>
    <row r="32" spans="1:6" ht="19.8">
      <c r="A32" s="186" t="s">
        <v>55</v>
      </c>
      <c r="B32" s="186"/>
      <c r="C32" s="186"/>
      <c r="D32" s="186"/>
      <c r="E32" s="186"/>
      <c r="F32" s="186"/>
    </row>
    <row r="33" spans="1:9" ht="19.8">
      <c r="A33" s="186" t="s">
        <v>56</v>
      </c>
      <c r="B33" s="186"/>
      <c r="C33" s="186"/>
      <c r="D33" s="186"/>
      <c r="E33" s="186"/>
      <c r="F33" s="186"/>
    </row>
    <row r="34" spans="1:9">
      <c r="A34" s="17" t="s">
        <v>236</v>
      </c>
      <c r="B34" s="17" t="s">
        <v>30</v>
      </c>
      <c r="D34" s="191" t="s">
        <v>58</v>
      </c>
      <c r="E34" s="191"/>
      <c r="F34" s="191"/>
      <c r="G34" s="191"/>
      <c r="H34" s="191"/>
      <c r="I34" s="191"/>
    </row>
    <row r="35" spans="1:9">
      <c r="A35" t="s">
        <v>237</v>
      </c>
      <c r="B35" s="14" t="e">
        <f>IF(D15&lt;25,IF(D14=2,((354)-(6.91*D11)+F40*(9.36*D13+726*D12))))</f>
        <v>#DIV/0!</v>
      </c>
      <c r="D35" s="18" t="s">
        <v>31</v>
      </c>
      <c r="E35" s="185" t="s">
        <v>32</v>
      </c>
      <c r="F35" s="185"/>
      <c r="G35" s="185"/>
      <c r="H35" s="185"/>
      <c r="I35" s="185"/>
    </row>
    <row r="36" spans="1:9">
      <c r="D36" s="19" t="s">
        <v>34</v>
      </c>
      <c r="E36" s="184" t="s">
        <v>46</v>
      </c>
      <c r="F36" s="184"/>
      <c r="G36" s="184"/>
      <c r="H36" s="184"/>
      <c r="I36" s="184"/>
    </row>
    <row r="37" spans="1:9">
      <c r="D37" s="18" t="s">
        <v>37</v>
      </c>
      <c r="E37" s="185" t="s">
        <v>48</v>
      </c>
      <c r="F37" s="185"/>
      <c r="G37" s="185"/>
      <c r="H37" s="185"/>
      <c r="I37" s="185"/>
    </row>
    <row r="38" spans="1:9">
      <c r="D38" s="19" t="s">
        <v>40</v>
      </c>
      <c r="E38" s="184" t="s">
        <v>49</v>
      </c>
      <c r="F38" s="184"/>
      <c r="G38" s="184"/>
      <c r="H38" s="184"/>
      <c r="I38" s="184"/>
    </row>
    <row r="39" spans="1:9" ht="15" thickBot="1"/>
    <row r="40" spans="1:9" ht="15.6" thickTop="1" thickBot="1">
      <c r="E40" s="16" t="s">
        <v>62</v>
      </c>
      <c r="F40" s="88"/>
    </row>
    <row r="41" spans="1:9" ht="15" thickTop="1"/>
    <row r="43" spans="1:9">
      <c r="A43" s="15" t="s">
        <v>238</v>
      </c>
      <c r="B43" s="15" t="s">
        <v>30</v>
      </c>
      <c r="D43" s="191" t="s">
        <v>239</v>
      </c>
      <c r="E43" s="191"/>
      <c r="F43" s="191"/>
      <c r="G43" s="191"/>
      <c r="H43" s="191"/>
      <c r="I43" s="191"/>
    </row>
    <row r="44" spans="1:9">
      <c r="A44" t="s">
        <v>237</v>
      </c>
      <c r="B44" s="14" t="e">
        <f>IF(D15&lt;25,IF(D14=1,((662)-(9.53*D11)+F49*(15.91*D13+539.6*D12))))</f>
        <v>#DIV/0!</v>
      </c>
      <c r="D44" s="18" t="s">
        <v>31</v>
      </c>
      <c r="E44" s="185" t="s">
        <v>32</v>
      </c>
      <c r="F44" s="185"/>
      <c r="G44" s="185"/>
      <c r="H44" s="185"/>
      <c r="I44" s="185"/>
    </row>
    <row r="45" spans="1:9">
      <c r="D45" s="19" t="s">
        <v>34</v>
      </c>
      <c r="E45" s="184" t="s">
        <v>240</v>
      </c>
      <c r="F45" s="184"/>
      <c r="G45" s="184"/>
      <c r="H45" s="184"/>
      <c r="I45" s="184"/>
    </row>
    <row r="46" spans="1:9">
      <c r="D46" s="18" t="s">
        <v>37</v>
      </c>
      <c r="E46" s="185" t="s">
        <v>241</v>
      </c>
      <c r="F46" s="185"/>
      <c r="G46" s="185"/>
      <c r="H46" s="185"/>
      <c r="I46" s="185"/>
    </row>
    <row r="47" spans="1:9">
      <c r="D47" s="19" t="s">
        <v>40</v>
      </c>
      <c r="E47" s="234" t="s">
        <v>242</v>
      </c>
      <c r="F47" s="235"/>
      <c r="G47" s="235"/>
      <c r="H47" s="235"/>
      <c r="I47" s="236"/>
    </row>
    <row r="48" spans="1:9" ht="15" thickBot="1"/>
    <row r="49" spans="1:6" ht="15.6" thickTop="1" thickBot="1">
      <c r="E49" s="16" t="s">
        <v>62</v>
      </c>
      <c r="F49" s="88"/>
    </row>
    <row r="50" spans="1:6" ht="15" thickTop="1"/>
    <row r="53" spans="1:6" ht="19.8">
      <c r="A53" s="186" t="s">
        <v>85</v>
      </c>
      <c r="B53" s="186"/>
      <c r="C53" s="186"/>
      <c r="D53" s="186"/>
      <c r="E53" s="186"/>
      <c r="F53" s="186"/>
    </row>
    <row r="54" spans="1:6" ht="19.8">
      <c r="A54" s="186" t="s">
        <v>243</v>
      </c>
      <c r="B54" s="186"/>
      <c r="C54" s="186"/>
      <c r="D54" s="186"/>
      <c r="E54" s="186"/>
      <c r="F54" s="186"/>
    </row>
    <row r="56" spans="1:6">
      <c r="A56" s="17" t="s">
        <v>236</v>
      </c>
      <c r="B56" s="17" t="s">
        <v>30</v>
      </c>
    </row>
    <row r="57" spans="1:6">
      <c r="A57" t="s">
        <v>237</v>
      </c>
      <c r="B57" s="14" t="e">
        <f>IF(D15&gt;=25,IF(D14=2,((247)-(2.67*D11)+(401.5*D12+8.6*D13))))</f>
        <v>#DIV/0!</v>
      </c>
    </row>
    <row r="60" spans="1:6">
      <c r="A60" s="15" t="s">
        <v>238</v>
      </c>
      <c r="B60" s="15" t="s">
        <v>30</v>
      </c>
    </row>
    <row r="61" spans="1:6">
      <c r="A61" t="s">
        <v>237</v>
      </c>
      <c r="B61" s="14" t="e">
        <f>IF(D15&gt;=25,IF(D14=1,((293)-(3.8*D11)+(456.4*D12+10.12*D13))))</f>
        <v>#DIV/0!</v>
      </c>
    </row>
    <row r="66" spans="1:9" ht="19.8">
      <c r="A66" s="186" t="s">
        <v>85</v>
      </c>
      <c r="B66" s="186"/>
      <c r="C66" s="186"/>
      <c r="D66" s="186"/>
      <c r="E66" s="186"/>
      <c r="F66" s="186"/>
    </row>
    <row r="67" spans="1:9" ht="19.8">
      <c r="A67" s="186" t="s">
        <v>88</v>
      </c>
      <c r="B67" s="186"/>
      <c r="C67" s="186"/>
      <c r="D67" s="186"/>
      <c r="E67" s="186"/>
      <c r="F67" s="186"/>
    </row>
    <row r="69" spans="1:9">
      <c r="A69" s="17" t="s">
        <v>236</v>
      </c>
      <c r="B69" s="17" t="s">
        <v>30</v>
      </c>
      <c r="D69" s="191" t="s">
        <v>58</v>
      </c>
      <c r="E69" s="191"/>
      <c r="F69" s="191"/>
      <c r="G69" s="191"/>
      <c r="H69" s="191"/>
      <c r="I69" s="191"/>
    </row>
    <row r="70" spans="1:9">
      <c r="A70" t="s">
        <v>237</v>
      </c>
      <c r="B70" s="14" t="e">
        <f>IF(D15&gt;=25,IF(D14=2,((448)-(7.95*D11)+F75*(11.4*D13+619*D12))))</f>
        <v>#DIV/0!</v>
      </c>
      <c r="D70" s="18" t="s">
        <v>31</v>
      </c>
      <c r="E70" s="185" t="s">
        <v>32</v>
      </c>
      <c r="F70" s="185"/>
      <c r="G70" s="185"/>
      <c r="H70" s="185"/>
      <c r="I70" s="185"/>
    </row>
    <row r="71" spans="1:9">
      <c r="D71" s="19" t="s">
        <v>34</v>
      </c>
      <c r="E71" s="234" t="s">
        <v>35</v>
      </c>
      <c r="F71" s="235"/>
      <c r="G71" s="235"/>
      <c r="H71" s="235"/>
      <c r="I71" s="236"/>
    </row>
    <row r="72" spans="1:9">
      <c r="D72" s="18" t="s">
        <v>37</v>
      </c>
      <c r="E72" s="237" t="s">
        <v>48</v>
      </c>
      <c r="F72" s="238"/>
      <c r="G72" s="238"/>
      <c r="H72" s="238"/>
      <c r="I72" s="239"/>
    </row>
    <row r="73" spans="1:9">
      <c r="D73" s="19" t="s">
        <v>40</v>
      </c>
      <c r="E73" s="234" t="s">
        <v>244</v>
      </c>
      <c r="F73" s="235"/>
      <c r="G73" s="235"/>
      <c r="H73" s="235"/>
      <c r="I73" s="236"/>
    </row>
    <row r="74" spans="1:9" ht="15" thickBot="1"/>
    <row r="75" spans="1:9" ht="15.6" thickTop="1" thickBot="1">
      <c r="E75" s="16" t="s">
        <v>62</v>
      </c>
      <c r="F75" s="88"/>
    </row>
    <row r="76" spans="1:9" ht="15" thickTop="1"/>
    <row r="78" spans="1:9">
      <c r="A78" s="15" t="s">
        <v>238</v>
      </c>
      <c r="B78" s="15" t="s">
        <v>30</v>
      </c>
      <c r="D78" s="40" t="s">
        <v>239</v>
      </c>
      <c r="E78" s="31"/>
      <c r="F78" s="31"/>
      <c r="G78" s="31"/>
      <c r="H78" s="31"/>
      <c r="I78" s="31"/>
    </row>
    <row r="79" spans="1:9">
      <c r="A79" t="s">
        <v>237</v>
      </c>
      <c r="B79" s="14" t="e">
        <f>IF(D15&gt;=25,IF(D14=1,((1086)-(10.1*D11)+F84*(13.7*D13+416*D12))))</f>
        <v>#DIV/0!</v>
      </c>
      <c r="D79" s="18" t="s">
        <v>31</v>
      </c>
      <c r="E79" s="237" t="s">
        <v>32</v>
      </c>
      <c r="F79" s="238"/>
      <c r="G79" s="238"/>
      <c r="H79" s="238"/>
      <c r="I79" s="239"/>
    </row>
    <row r="80" spans="1:9">
      <c r="D80" s="19" t="s">
        <v>34</v>
      </c>
      <c r="E80" s="234" t="s">
        <v>46</v>
      </c>
      <c r="F80" s="235"/>
      <c r="G80" s="235"/>
      <c r="H80" s="235"/>
      <c r="I80" s="236"/>
    </row>
    <row r="81" spans="4:9">
      <c r="D81" s="18" t="s">
        <v>37</v>
      </c>
      <c r="E81" s="237" t="s">
        <v>245</v>
      </c>
      <c r="F81" s="238"/>
      <c r="G81" s="238"/>
      <c r="H81" s="238"/>
      <c r="I81" s="239"/>
    </row>
    <row r="82" spans="4:9">
      <c r="D82" s="19" t="s">
        <v>40</v>
      </c>
      <c r="E82" s="234" t="s">
        <v>246</v>
      </c>
      <c r="F82" s="235"/>
      <c r="G82" s="235"/>
      <c r="H82" s="235"/>
      <c r="I82" s="236"/>
    </row>
    <row r="83" spans="4:9" ht="15" thickBot="1"/>
    <row r="84" spans="4:9" ht="15.6" thickTop="1" thickBot="1">
      <c r="E84" s="16" t="s">
        <v>62</v>
      </c>
      <c r="F84" s="88"/>
    </row>
    <row r="85" spans="4:9" ht="15" thickTop="1"/>
  </sheetData>
  <sheetProtection algorithmName="SHA-512" hashValue="0httK9Zm5QI4q66i39uCcUYYDLTqyteLuKYaOZSgjymZuYy/2vaJP0uV7kFSLmA2X6j8IKJh2wfEJgQ/qbcGVA==" saltValue="F2E3yq6EL/94UYHcFhEBbA==" spinCount="100000" sheet="1" objects="1" scenarios="1" selectLockedCells="1"/>
  <mergeCells count="36">
    <mergeCell ref="E45:I45"/>
    <mergeCell ref="E46:I46"/>
    <mergeCell ref="I9:L9"/>
    <mergeCell ref="A33:F33"/>
    <mergeCell ref="A8:K8"/>
    <mergeCell ref="A9:G9"/>
    <mergeCell ref="A10:D10"/>
    <mergeCell ref="A11:C11"/>
    <mergeCell ref="A15:C15"/>
    <mergeCell ref="A16:C16"/>
    <mergeCell ref="A32:F32"/>
    <mergeCell ref="A18:F18"/>
    <mergeCell ref="E36:I36"/>
    <mergeCell ref="E37:I37"/>
    <mergeCell ref="E38:I38"/>
    <mergeCell ref="D43:I43"/>
    <mergeCell ref="E44:I44"/>
    <mergeCell ref="A12:C12"/>
    <mergeCell ref="A13:C13"/>
    <mergeCell ref="D34:I34"/>
    <mergeCell ref="A19:F19"/>
    <mergeCell ref="E35:I35"/>
    <mergeCell ref="E80:I80"/>
    <mergeCell ref="E81:I81"/>
    <mergeCell ref="E82:I82"/>
    <mergeCell ref="E47:I47"/>
    <mergeCell ref="E71:I71"/>
    <mergeCell ref="E72:I72"/>
    <mergeCell ref="E73:I73"/>
    <mergeCell ref="E79:I79"/>
    <mergeCell ref="E70:I70"/>
    <mergeCell ref="A53:F53"/>
    <mergeCell ref="A54:F54"/>
    <mergeCell ref="A66:F66"/>
    <mergeCell ref="A67:F67"/>
    <mergeCell ref="D69:I69"/>
  </mergeCells>
  <phoneticPr fontId="0" type="noConversion"/>
  <pageMargins left="0.511811024" right="0.511811024" top="0.78740157499999996" bottom="0.78740157499999996" header="0.31496062000000002" footer="0.31496062000000002"/>
  <pageSetup orientation="portrait" horizontalDpi="4294967293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7:M38"/>
  <sheetViews>
    <sheetView topLeftCell="A5" zoomScale="90" zoomScaleNormal="90" workbookViewId="0">
      <selection activeCell="A9" sqref="A9"/>
    </sheetView>
  </sheetViews>
  <sheetFormatPr defaultColWidth="8.77734375" defaultRowHeight="14.4"/>
  <cols>
    <col min="1" max="1" width="25.109375" customWidth="1"/>
    <col min="2" max="2" width="11.33203125" bestFit="1" customWidth="1"/>
    <col min="3" max="3" width="9.109375" customWidth="1"/>
    <col min="4" max="4" width="19.109375" bestFit="1" customWidth="1"/>
    <col min="5" max="5" width="16.109375" customWidth="1"/>
    <col min="7" max="7" width="24.6640625" customWidth="1"/>
    <col min="8" max="8" width="25.44140625" customWidth="1"/>
  </cols>
  <sheetData>
    <row r="7" spans="1:7" ht="22.8">
      <c r="A7" s="251"/>
      <c r="B7" s="251"/>
      <c r="C7" s="251"/>
      <c r="D7" s="251"/>
      <c r="E7" s="251"/>
      <c r="F7" s="251"/>
      <c r="G7" s="251"/>
    </row>
    <row r="8" spans="1:7" ht="22.8">
      <c r="A8" s="2"/>
      <c r="B8" s="2"/>
      <c r="C8" s="2"/>
      <c r="D8" s="2"/>
      <c r="E8" s="2"/>
      <c r="F8" s="2"/>
      <c r="G8" s="2"/>
    </row>
    <row r="9" spans="1:7" ht="23.4" thickBot="1">
      <c r="A9" s="93" t="s">
        <v>247</v>
      </c>
      <c r="B9" s="2"/>
      <c r="C9" s="2"/>
      <c r="D9" s="2"/>
      <c r="E9" s="2"/>
      <c r="F9" s="2"/>
      <c r="G9" s="2"/>
    </row>
    <row r="10" spans="1:7" ht="23.4" thickTop="1">
      <c r="A10" s="252" t="s">
        <v>1</v>
      </c>
      <c r="B10" s="253"/>
      <c r="C10" s="2"/>
      <c r="D10" s="2"/>
      <c r="E10" s="2"/>
      <c r="F10" s="2"/>
      <c r="G10" s="2"/>
    </row>
    <row r="11" spans="1:7" ht="22.8">
      <c r="A11" s="149" t="s">
        <v>5</v>
      </c>
      <c r="B11" s="68"/>
      <c r="C11" s="2"/>
      <c r="D11" s="2"/>
      <c r="E11" s="2"/>
      <c r="F11" s="2"/>
      <c r="G11" s="2"/>
    </row>
    <row r="12" spans="1:7" ht="22.8">
      <c r="A12" s="150" t="s">
        <v>9</v>
      </c>
      <c r="B12" s="69"/>
      <c r="C12" s="2"/>
      <c r="D12" s="2"/>
      <c r="E12" s="2"/>
      <c r="F12" s="2"/>
      <c r="G12" s="2"/>
    </row>
    <row r="13" spans="1:7" ht="22.8">
      <c r="A13" s="151" t="s">
        <v>52</v>
      </c>
      <c r="B13" s="68"/>
      <c r="C13" s="2"/>
      <c r="D13" s="2"/>
      <c r="E13" s="2"/>
      <c r="F13" s="2"/>
      <c r="G13" s="2"/>
    </row>
    <row r="14" spans="1:7" ht="23.4" thickBot="1">
      <c r="A14" s="152" t="s">
        <v>248</v>
      </c>
      <c r="B14" s="153" t="e">
        <f>B13/POWER(B12,2)</f>
        <v>#DIV/0!</v>
      </c>
      <c r="C14" s="2"/>
      <c r="D14" s="2"/>
      <c r="E14" s="2"/>
      <c r="F14" s="2"/>
      <c r="G14" s="2"/>
    </row>
    <row r="15" spans="1:7" ht="24" thickTop="1" thickBot="1">
      <c r="A15" s="154"/>
      <c r="B15" s="154"/>
      <c r="C15" s="2"/>
      <c r="D15" s="2"/>
      <c r="E15" s="2"/>
      <c r="F15" s="2"/>
      <c r="G15" s="2"/>
    </row>
    <row r="16" spans="1:7" ht="24" thickTop="1" thickBot="1">
      <c r="A16" s="21" t="s">
        <v>249</v>
      </c>
      <c r="B16" s="155"/>
      <c r="C16" s="2"/>
      <c r="D16" s="2"/>
      <c r="E16" s="2"/>
      <c r="F16" s="2"/>
      <c r="G16" s="2"/>
    </row>
    <row r="17" spans="1:13" ht="15" thickTop="1">
      <c r="B17" s="133"/>
      <c r="C17" s="133"/>
      <c r="D17" s="133"/>
      <c r="E17" s="133"/>
      <c r="F17" s="133"/>
      <c r="G17" s="133"/>
    </row>
    <row r="18" spans="1:13">
      <c r="A18" s="133"/>
      <c r="B18" s="133"/>
      <c r="C18" s="133"/>
      <c r="D18" s="133"/>
      <c r="E18" s="133"/>
      <c r="F18" s="133"/>
      <c r="G18" s="133"/>
    </row>
    <row r="19" spans="1:13">
      <c r="A19" s="70" t="s">
        <v>250</v>
      </c>
      <c r="B19" s="70" t="s">
        <v>251</v>
      </c>
      <c r="C19" s="22" t="s">
        <v>30</v>
      </c>
      <c r="D19" s="133"/>
      <c r="E19" s="133"/>
      <c r="F19" s="133"/>
      <c r="G19" s="133"/>
    </row>
    <row r="20" spans="1:13">
      <c r="A20" s="156" t="s">
        <v>252</v>
      </c>
      <c r="B20" s="156">
        <v>20</v>
      </c>
      <c r="C20" s="157">
        <f>B20/100*I37</f>
        <v>0</v>
      </c>
      <c r="D20" s="133"/>
      <c r="E20" s="133"/>
      <c r="F20" s="133"/>
      <c r="G20" s="133"/>
    </row>
    <row r="21" spans="1:13">
      <c r="A21" s="94" t="s">
        <v>253</v>
      </c>
      <c r="B21" s="94">
        <v>5</v>
      </c>
      <c r="C21" s="158">
        <f>B21/100*I37</f>
        <v>0</v>
      </c>
      <c r="D21" s="133"/>
      <c r="E21" s="133"/>
      <c r="F21" s="133"/>
      <c r="G21" s="133"/>
    </row>
    <row r="22" spans="1:13">
      <c r="A22" s="156" t="s">
        <v>254</v>
      </c>
      <c r="B22" s="156">
        <v>30</v>
      </c>
      <c r="C22" s="157">
        <f>B22/100*I37</f>
        <v>0</v>
      </c>
      <c r="D22" s="133"/>
      <c r="E22" s="133"/>
      <c r="F22" s="133"/>
      <c r="G22" s="133"/>
    </row>
    <row r="23" spans="1:13">
      <c r="A23" s="94" t="s">
        <v>255</v>
      </c>
      <c r="B23" s="94">
        <v>15</v>
      </c>
      <c r="C23" s="158">
        <f>B23/100*I37</f>
        <v>0</v>
      </c>
      <c r="D23" s="133"/>
      <c r="E23" s="133"/>
      <c r="F23" s="133"/>
      <c r="G23" s="133"/>
    </row>
    <row r="24" spans="1:13">
      <c r="A24" s="156" t="s">
        <v>256</v>
      </c>
      <c r="B24" s="156">
        <v>25</v>
      </c>
      <c r="C24" s="157">
        <f>B24/100*I37</f>
        <v>0</v>
      </c>
      <c r="D24" s="133"/>
      <c r="E24" s="133"/>
      <c r="F24" s="133"/>
      <c r="G24" s="133"/>
    </row>
    <row r="25" spans="1:13">
      <c r="A25" s="94" t="s">
        <v>257</v>
      </c>
      <c r="B25" s="94">
        <v>5</v>
      </c>
      <c r="C25" s="158">
        <f>B25/100*I37</f>
        <v>0</v>
      </c>
      <c r="D25" s="133"/>
      <c r="E25" s="133"/>
      <c r="F25" s="133"/>
      <c r="G25" s="133"/>
    </row>
    <row r="26" spans="1:13">
      <c r="A26" s="156"/>
      <c r="B26" s="71" t="s">
        <v>258</v>
      </c>
      <c r="C26" s="65">
        <f>SUM(C20:C25)</f>
        <v>0</v>
      </c>
      <c r="D26" s="133"/>
      <c r="E26" s="133"/>
      <c r="F26" s="133"/>
      <c r="G26" s="133"/>
    </row>
    <row r="28" spans="1:13" ht="19.8">
      <c r="A28" s="254" t="s">
        <v>259</v>
      </c>
      <c r="B28" s="254"/>
      <c r="C28" s="254"/>
      <c r="D28" s="44" t="s">
        <v>260</v>
      </c>
      <c r="E28" s="254" t="s">
        <v>261</v>
      </c>
      <c r="F28" s="254"/>
      <c r="G28" s="46" t="s">
        <v>262</v>
      </c>
      <c r="H28" s="50" t="s">
        <v>263</v>
      </c>
      <c r="I28" s="50" t="s">
        <v>30</v>
      </c>
      <c r="J28" s="20"/>
      <c r="K28" s="20"/>
      <c r="L28" s="20"/>
      <c r="M28" s="20"/>
    </row>
    <row r="29" spans="1:13">
      <c r="A29" s="255" t="s">
        <v>264</v>
      </c>
      <c r="B29" s="255"/>
      <c r="C29" s="255"/>
      <c r="D29" s="45" t="s">
        <v>265</v>
      </c>
      <c r="E29" s="256" t="s">
        <v>266</v>
      </c>
      <c r="F29" s="256"/>
      <c r="G29" s="46">
        <v>100</v>
      </c>
      <c r="H29" s="72"/>
      <c r="I29" s="46">
        <f>(H29*G29)</f>
        <v>0</v>
      </c>
    </row>
    <row r="30" spans="1:13">
      <c r="A30" s="257" t="s">
        <v>267</v>
      </c>
      <c r="B30" s="257"/>
      <c r="C30" s="257"/>
      <c r="D30" s="47" t="s">
        <v>268</v>
      </c>
      <c r="E30" s="256" t="s">
        <v>269</v>
      </c>
      <c r="F30" s="256"/>
      <c r="G30" s="46">
        <v>40</v>
      </c>
      <c r="H30" s="72"/>
      <c r="I30" s="46">
        <f t="shared" ref="I30:I36" si="0">(H30*G30)</f>
        <v>0</v>
      </c>
    </row>
    <row r="31" spans="1:13">
      <c r="A31" s="258" t="s">
        <v>270</v>
      </c>
      <c r="B31" s="258"/>
      <c r="C31" s="258"/>
      <c r="D31" s="53" t="s">
        <v>271</v>
      </c>
      <c r="E31" s="256" t="s">
        <v>272</v>
      </c>
      <c r="F31" s="256"/>
      <c r="G31" s="46">
        <v>90</v>
      </c>
      <c r="H31" s="72"/>
      <c r="I31" s="46">
        <f t="shared" si="0"/>
        <v>0</v>
      </c>
    </row>
    <row r="32" spans="1:13">
      <c r="A32" s="259" t="s">
        <v>273</v>
      </c>
      <c r="B32" s="259"/>
      <c r="C32" s="259"/>
      <c r="D32" s="55" t="s">
        <v>274</v>
      </c>
      <c r="E32" s="256">
        <v>50</v>
      </c>
      <c r="F32" s="256"/>
      <c r="G32" s="46">
        <v>50</v>
      </c>
      <c r="H32" s="72"/>
      <c r="I32" s="46">
        <f t="shared" si="0"/>
        <v>0</v>
      </c>
    </row>
    <row r="33" spans="1:12">
      <c r="A33" s="259" t="s">
        <v>275</v>
      </c>
      <c r="B33" s="259"/>
      <c r="C33" s="259"/>
      <c r="D33" s="55" t="s">
        <v>276</v>
      </c>
      <c r="E33" s="256" t="s">
        <v>277</v>
      </c>
      <c r="F33" s="256"/>
      <c r="G33" s="46">
        <v>100</v>
      </c>
      <c r="H33" s="72"/>
      <c r="I33" s="46">
        <f t="shared" si="0"/>
        <v>0</v>
      </c>
    </row>
    <row r="34" spans="1:12">
      <c r="A34" s="261" t="s">
        <v>278</v>
      </c>
      <c r="B34" s="261"/>
      <c r="C34" s="261"/>
      <c r="D34" s="54" t="s">
        <v>279</v>
      </c>
      <c r="E34" s="256" t="s">
        <v>280</v>
      </c>
      <c r="F34" s="256"/>
      <c r="G34" s="46">
        <v>110</v>
      </c>
      <c r="H34" s="72"/>
      <c r="I34" s="46">
        <f t="shared" si="0"/>
        <v>0</v>
      </c>
    </row>
    <row r="35" spans="1:12">
      <c r="A35" s="262" t="s">
        <v>281</v>
      </c>
      <c r="B35" s="262"/>
      <c r="C35" s="262"/>
      <c r="D35" s="48">
        <v>1</v>
      </c>
      <c r="E35" s="256" t="s">
        <v>266</v>
      </c>
      <c r="F35" s="256"/>
      <c r="G35" s="46">
        <v>100</v>
      </c>
      <c r="H35" s="72"/>
      <c r="I35" s="46">
        <f t="shared" si="0"/>
        <v>0</v>
      </c>
    </row>
    <row r="36" spans="1:12">
      <c r="A36" s="260" t="s">
        <v>282</v>
      </c>
      <c r="B36" s="260"/>
      <c r="C36" s="260"/>
      <c r="D36" s="49">
        <v>1</v>
      </c>
      <c r="E36" s="256" t="s">
        <v>283</v>
      </c>
      <c r="F36" s="256"/>
      <c r="G36" s="46">
        <v>80</v>
      </c>
      <c r="H36" s="72"/>
      <c r="I36" s="46">
        <f t="shared" si="0"/>
        <v>0</v>
      </c>
    </row>
    <row r="37" spans="1:12">
      <c r="H37" s="35" t="s">
        <v>284</v>
      </c>
      <c r="I37" s="56">
        <f>SUM(I29:I36)</f>
        <v>0</v>
      </c>
      <c r="L37" s="64"/>
    </row>
    <row r="38" spans="1:12">
      <c r="A38" t="s">
        <v>285</v>
      </c>
    </row>
  </sheetData>
  <sheetProtection password="C6EA" sheet="1" selectLockedCells="1"/>
  <mergeCells count="20">
    <mergeCell ref="A36:C36"/>
    <mergeCell ref="E36:F36"/>
    <mergeCell ref="A33:C33"/>
    <mergeCell ref="E33:F33"/>
    <mergeCell ref="A34:C34"/>
    <mergeCell ref="E34:F34"/>
    <mergeCell ref="A35:C35"/>
    <mergeCell ref="E35:F35"/>
    <mergeCell ref="A30:C30"/>
    <mergeCell ref="E30:F30"/>
    <mergeCell ref="A31:C31"/>
    <mergeCell ref="E31:F31"/>
    <mergeCell ref="A32:C32"/>
    <mergeCell ref="E32:F32"/>
    <mergeCell ref="A7:G7"/>
    <mergeCell ref="A10:B10"/>
    <mergeCell ref="A28:C28"/>
    <mergeCell ref="E28:F28"/>
    <mergeCell ref="A29:C29"/>
    <mergeCell ref="E29:F2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7:M39"/>
  <sheetViews>
    <sheetView topLeftCell="A2" zoomScale="90" zoomScaleNormal="90" workbookViewId="0">
      <selection activeCell="G32" sqref="G32"/>
    </sheetView>
  </sheetViews>
  <sheetFormatPr defaultColWidth="8.77734375" defaultRowHeight="14.4"/>
  <cols>
    <col min="1" max="1" width="25.109375" customWidth="1"/>
    <col min="2" max="2" width="11.33203125" bestFit="1" customWidth="1"/>
    <col min="3" max="3" width="9.109375" customWidth="1"/>
    <col min="4" max="4" width="19.109375" bestFit="1" customWidth="1"/>
    <col min="7" max="7" width="24.6640625" customWidth="1"/>
  </cols>
  <sheetData>
    <row r="7" spans="1:7" ht="22.8">
      <c r="A7" s="251"/>
      <c r="B7" s="251"/>
      <c r="C7" s="251"/>
      <c r="D7" s="251"/>
      <c r="E7" s="251"/>
      <c r="F7" s="251"/>
      <c r="G7" s="251"/>
    </row>
    <row r="8" spans="1:7" ht="22.8">
      <c r="A8" s="2"/>
      <c r="B8" s="2"/>
      <c r="C8" s="2"/>
      <c r="D8" s="2"/>
      <c r="E8" s="2"/>
      <c r="F8" s="2"/>
      <c r="G8" s="2"/>
    </row>
    <row r="9" spans="1:7" ht="22.8">
      <c r="A9" s="2"/>
      <c r="B9" s="2"/>
      <c r="C9" s="2"/>
      <c r="D9" s="2"/>
      <c r="E9" s="2"/>
      <c r="F9" s="2"/>
      <c r="G9" s="2"/>
    </row>
    <row r="10" spans="1:7" ht="22.8">
      <c r="A10" s="2"/>
      <c r="B10" s="2"/>
      <c r="C10" s="2"/>
      <c r="D10" s="2"/>
      <c r="E10" s="2"/>
      <c r="F10" s="2"/>
      <c r="G10" s="2"/>
    </row>
    <row r="11" spans="1:7" ht="23.4" thickBot="1">
      <c r="A11" s="92" t="s">
        <v>0</v>
      </c>
      <c r="B11" s="2"/>
      <c r="C11" s="2"/>
      <c r="D11" s="2"/>
      <c r="E11" s="2"/>
      <c r="F11" s="2"/>
      <c r="G11" s="2"/>
    </row>
    <row r="12" spans="1:7" ht="23.4" thickTop="1">
      <c r="A12" s="252" t="s">
        <v>1</v>
      </c>
      <c r="B12" s="253"/>
      <c r="C12" s="2"/>
      <c r="D12" s="2"/>
      <c r="E12" s="2"/>
      <c r="F12" s="2"/>
      <c r="G12" s="2"/>
    </row>
    <row r="13" spans="1:7" ht="22.8">
      <c r="A13" s="149" t="s">
        <v>5</v>
      </c>
      <c r="B13" s="68"/>
      <c r="C13" s="2"/>
      <c r="D13" s="2"/>
      <c r="E13" s="2"/>
      <c r="F13" s="2"/>
      <c r="G13" s="2"/>
    </row>
    <row r="14" spans="1:7" ht="22.8">
      <c r="A14" s="150" t="s">
        <v>9</v>
      </c>
      <c r="B14" s="69"/>
      <c r="C14" s="2"/>
      <c r="D14" s="2"/>
      <c r="E14" s="2"/>
      <c r="F14" s="2"/>
      <c r="G14" s="2"/>
    </row>
    <row r="15" spans="1:7" ht="22.8">
      <c r="A15" s="151" t="s">
        <v>52</v>
      </c>
      <c r="B15" s="68"/>
      <c r="C15" s="2"/>
      <c r="D15" s="2"/>
      <c r="E15" s="2"/>
      <c r="F15" s="2"/>
      <c r="G15" s="2"/>
    </row>
    <row r="16" spans="1:7" ht="23.4" thickBot="1">
      <c r="A16" s="152" t="s">
        <v>248</v>
      </c>
      <c r="B16" s="153" t="e">
        <f>B15/POWER(B14,2)</f>
        <v>#DIV/0!</v>
      </c>
      <c r="C16" s="2"/>
      <c r="D16" s="2"/>
      <c r="E16" s="2"/>
      <c r="F16" s="2"/>
      <c r="G16" s="2"/>
    </row>
    <row r="17" spans="1:13" ht="24" thickTop="1" thickBot="1">
      <c r="A17" s="154"/>
      <c r="B17" s="154"/>
      <c r="C17" s="2"/>
      <c r="D17" s="2"/>
      <c r="E17" s="2"/>
      <c r="F17" s="2"/>
      <c r="G17" s="2"/>
    </row>
    <row r="18" spans="1:13" ht="24" thickTop="1" thickBot="1">
      <c r="A18" s="21" t="s">
        <v>249</v>
      </c>
      <c r="B18" s="155"/>
      <c r="C18" s="2"/>
      <c r="D18" s="2"/>
      <c r="E18" s="2"/>
      <c r="F18" s="2"/>
      <c r="G18" s="2"/>
    </row>
    <row r="19" spans="1:13" ht="15" thickTop="1">
      <c r="B19" s="133"/>
      <c r="C19" s="133"/>
      <c r="D19" s="133"/>
      <c r="E19" s="133"/>
      <c r="F19" s="133"/>
      <c r="G19" s="133"/>
    </row>
    <row r="20" spans="1:13">
      <c r="A20" s="133"/>
      <c r="B20" s="133"/>
      <c r="C20" s="133"/>
      <c r="D20" s="133"/>
      <c r="E20" s="133"/>
      <c r="F20" s="133"/>
      <c r="G20" s="133"/>
    </row>
    <row r="21" spans="1:13">
      <c r="A21" s="70" t="s">
        <v>250</v>
      </c>
      <c r="B21" s="70" t="s">
        <v>251</v>
      </c>
      <c r="C21" s="22" t="s">
        <v>30</v>
      </c>
      <c r="D21" s="133"/>
      <c r="E21" s="133"/>
      <c r="F21" s="133"/>
      <c r="G21" s="133"/>
    </row>
    <row r="22" spans="1:13">
      <c r="A22" s="156" t="s">
        <v>252</v>
      </c>
      <c r="B22" s="156">
        <v>20</v>
      </c>
      <c r="C22" s="157">
        <f>B22/100*H39</f>
        <v>0</v>
      </c>
      <c r="D22" s="133"/>
      <c r="E22" s="133"/>
      <c r="F22" s="133"/>
      <c r="G22" s="133"/>
    </row>
    <row r="23" spans="1:13">
      <c r="A23" s="94" t="s">
        <v>253</v>
      </c>
      <c r="B23" s="94">
        <v>5</v>
      </c>
      <c r="C23" s="158">
        <f>B23/100*H39</f>
        <v>0</v>
      </c>
      <c r="D23" s="133"/>
      <c r="E23" s="133"/>
      <c r="F23" s="133"/>
      <c r="G23" s="133"/>
    </row>
    <row r="24" spans="1:13">
      <c r="A24" s="156" t="s">
        <v>254</v>
      </c>
      <c r="B24" s="156">
        <v>30</v>
      </c>
      <c r="C24" s="157">
        <f>B24/100*H39</f>
        <v>0</v>
      </c>
      <c r="D24" s="133"/>
      <c r="E24" s="133"/>
      <c r="F24" s="133"/>
      <c r="G24" s="133"/>
    </row>
    <row r="25" spans="1:13">
      <c r="A25" s="94" t="s">
        <v>255</v>
      </c>
      <c r="B25" s="94">
        <v>15</v>
      </c>
      <c r="C25" s="158">
        <f>B25/100*H39</f>
        <v>0</v>
      </c>
      <c r="D25" s="133"/>
      <c r="E25" s="133"/>
      <c r="F25" s="133"/>
      <c r="G25" s="133"/>
    </row>
    <row r="26" spans="1:13">
      <c r="A26" s="156" t="s">
        <v>256</v>
      </c>
      <c r="B26" s="156">
        <v>25</v>
      </c>
      <c r="C26" s="157">
        <f>B26/100*H39</f>
        <v>0</v>
      </c>
      <c r="D26" s="133"/>
      <c r="E26" s="133"/>
      <c r="F26" s="133"/>
      <c r="G26" s="133"/>
    </row>
    <row r="27" spans="1:13">
      <c r="A27" s="94" t="s">
        <v>257</v>
      </c>
      <c r="B27" s="94">
        <v>5</v>
      </c>
      <c r="C27" s="158">
        <f>B27/100*H39</f>
        <v>0</v>
      </c>
      <c r="D27" s="133"/>
      <c r="E27" s="133"/>
      <c r="F27" s="133"/>
      <c r="G27" s="133"/>
    </row>
    <row r="28" spans="1:13">
      <c r="A28" s="156"/>
      <c r="B28" s="156" t="s">
        <v>258</v>
      </c>
      <c r="C28" s="157">
        <f>SUM(C22:C27)</f>
        <v>0</v>
      </c>
      <c r="D28" s="133"/>
      <c r="E28" s="133"/>
      <c r="F28" s="133"/>
      <c r="G28" s="133"/>
    </row>
    <row r="30" spans="1:13" ht="19.8">
      <c r="A30" s="254" t="s">
        <v>259</v>
      </c>
      <c r="B30" s="254"/>
      <c r="C30" s="254"/>
      <c r="D30" s="44" t="s">
        <v>286</v>
      </c>
      <c r="E30" s="254" t="s">
        <v>261</v>
      </c>
      <c r="F30" s="254"/>
      <c r="G30" s="50" t="s">
        <v>263</v>
      </c>
      <c r="H30" s="50" t="s">
        <v>30</v>
      </c>
      <c r="I30" s="20"/>
      <c r="J30" s="20"/>
      <c r="K30" s="20"/>
      <c r="L30" s="20"/>
      <c r="M30" s="20"/>
    </row>
    <row r="31" spans="1:13">
      <c r="A31" s="255" t="s">
        <v>264</v>
      </c>
      <c r="B31" s="255"/>
      <c r="C31" s="255"/>
      <c r="D31" s="45" t="s">
        <v>287</v>
      </c>
      <c r="E31" s="256">
        <v>150</v>
      </c>
      <c r="F31" s="256"/>
      <c r="G31" s="72"/>
      <c r="H31" s="46">
        <f>(G31*E31)</f>
        <v>0</v>
      </c>
    </row>
    <row r="32" spans="1:13">
      <c r="A32" s="257" t="s">
        <v>267</v>
      </c>
      <c r="B32" s="257"/>
      <c r="C32" s="257"/>
      <c r="D32" s="47" t="s">
        <v>288</v>
      </c>
      <c r="E32" s="256">
        <v>15</v>
      </c>
      <c r="F32" s="256"/>
      <c r="G32" s="72"/>
      <c r="H32" s="46">
        <f t="shared" ref="H32:H38" si="0">(G32*E32)</f>
        <v>0</v>
      </c>
    </row>
    <row r="33" spans="1:8">
      <c r="A33" s="258" t="s">
        <v>270</v>
      </c>
      <c r="B33" s="258"/>
      <c r="C33" s="258"/>
      <c r="D33" s="53" t="s">
        <v>289</v>
      </c>
      <c r="E33" s="256">
        <v>35</v>
      </c>
      <c r="F33" s="256"/>
      <c r="G33" s="72"/>
      <c r="H33" s="46">
        <f t="shared" si="0"/>
        <v>0</v>
      </c>
    </row>
    <row r="34" spans="1:8">
      <c r="A34" s="259" t="s">
        <v>273</v>
      </c>
      <c r="B34" s="259"/>
      <c r="C34" s="259"/>
      <c r="D34" s="55">
        <v>1</v>
      </c>
      <c r="E34" s="256">
        <v>55</v>
      </c>
      <c r="F34" s="256"/>
      <c r="G34" s="72"/>
      <c r="H34" s="46">
        <f t="shared" si="0"/>
        <v>0</v>
      </c>
    </row>
    <row r="35" spans="1:8">
      <c r="A35" s="259" t="s">
        <v>275</v>
      </c>
      <c r="B35" s="259"/>
      <c r="C35" s="259"/>
      <c r="D35" s="55" t="s">
        <v>274</v>
      </c>
      <c r="E35" s="256">
        <v>190</v>
      </c>
      <c r="F35" s="256"/>
      <c r="G35" s="72"/>
      <c r="H35" s="46">
        <f t="shared" si="0"/>
        <v>0</v>
      </c>
    </row>
    <row r="36" spans="1:8">
      <c r="A36" s="261" t="s">
        <v>278</v>
      </c>
      <c r="B36" s="261"/>
      <c r="C36" s="261"/>
      <c r="D36" s="54">
        <v>3</v>
      </c>
      <c r="E36" s="256">
        <v>120</v>
      </c>
      <c r="F36" s="256"/>
      <c r="G36" s="72"/>
      <c r="H36" s="46">
        <f t="shared" si="0"/>
        <v>0</v>
      </c>
    </row>
    <row r="37" spans="1:8">
      <c r="A37" s="262" t="s">
        <v>281</v>
      </c>
      <c r="B37" s="262"/>
      <c r="C37" s="262"/>
      <c r="D37" s="48" t="s">
        <v>274</v>
      </c>
      <c r="E37" s="256">
        <v>73</v>
      </c>
      <c r="F37" s="256"/>
      <c r="G37" s="72"/>
      <c r="H37" s="46">
        <f t="shared" si="0"/>
        <v>0</v>
      </c>
    </row>
    <row r="38" spans="1:8">
      <c r="A38" s="260" t="s">
        <v>282</v>
      </c>
      <c r="B38" s="260"/>
      <c r="C38" s="260"/>
      <c r="D38" s="49" t="s">
        <v>274</v>
      </c>
      <c r="E38" s="256">
        <v>110</v>
      </c>
      <c r="F38" s="256"/>
      <c r="G38" s="72"/>
      <c r="H38" s="46">
        <f t="shared" si="0"/>
        <v>0</v>
      </c>
    </row>
    <row r="39" spans="1:8">
      <c r="G39" s="35" t="s">
        <v>284</v>
      </c>
      <c r="H39" s="35">
        <f>SUM(H31:H38)</f>
        <v>0</v>
      </c>
    </row>
  </sheetData>
  <sheetProtection password="C6EA" sheet="1" selectLockedCells="1"/>
  <mergeCells count="20">
    <mergeCell ref="A37:C37"/>
    <mergeCell ref="A38:C38"/>
    <mergeCell ref="A34:C34"/>
    <mergeCell ref="E31:F31"/>
    <mergeCell ref="E32:F32"/>
    <mergeCell ref="E37:F37"/>
    <mergeCell ref="A36:C36"/>
    <mergeCell ref="E38:F38"/>
    <mergeCell ref="E35:F35"/>
    <mergeCell ref="E36:F36"/>
    <mergeCell ref="A35:C35"/>
    <mergeCell ref="E34:F34"/>
    <mergeCell ref="A7:G7"/>
    <mergeCell ref="E30:F30"/>
    <mergeCell ref="A30:C30"/>
    <mergeCell ref="A12:B12"/>
    <mergeCell ref="E33:F33"/>
    <mergeCell ref="A31:C31"/>
    <mergeCell ref="A32:C32"/>
    <mergeCell ref="A33:C33"/>
  </mergeCells>
  <phoneticPr fontId="0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7:I41"/>
  <sheetViews>
    <sheetView topLeftCell="A22" zoomScale="90" zoomScaleNormal="90" workbookViewId="0">
      <selection activeCell="F31" sqref="F31"/>
    </sheetView>
  </sheetViews>
  <sheetFormatPr defaultColWidth="8.77734375" defaultRowHeight="14.4"/>
  <cols>
    <col min="1" max="1" width="25" customWidth="1"/>
    <col min="2" max="2" width="11.109375" customWidth="1"/>
    <col min="3" max="3" width="9.44140625" customWidth="1"/>
    <col min="4" max="4" width="18.77734375" customWidth="1"/>
    <col min="5" max="5" width="23.77734375" customWidth="1"/>
    <col min="6" max="6" width="29" customWidth="1"/>
    <col min="7" max="7" width="28.44140625" customWidth="1"/>
    <col min="8" max="8" width="13.44140625" customWidth="1"/>
  </cols>
  <sheetData>
    <row r="7" spans="1:7" ht="22.8">
      <c r="A7" s="251"/>
      <c r="B7" s="251"/>
      <c r="C7" s="251"/>
      <c r="D7" s="251"/>
      <c r="E7" s="251"/>
      <c r="F7" s="251"/>
      <c r="G7" s="251"/>
    </row>
    <row r="8" spans="1:7" ht="22.8">
      <c r="A8" s="2"/>
      <c r="B8" s="2"/>
      <c r="C8" s="2"/>
      <c r="D8" s="2"/>
      <c r="E8" s="2"/>
      <c r="F8" s="2"/>
      <c r="G8" s="2"/>
    </row>
    <row r="9" spans="1:7" ht="22.8">
      <c r="A9" s="2"/>
      <c r="B9" s="2"/>
      <c r="C9" s="2"/>
      <c r="D9" s="2"/>
      <c r="E9" s="2"/>
      <c r="F9" s="2"/>
      <c r="G9" s="2"/>
    </row>
    <row r="10" spans="1:7" ht="22.8">
      <c r="A10" s="2"/>
      <c r="B10" s="2"/>
      <c r="C10" s="2"/>
      <c r="D10" s="2"/>
      <c r="E10" s="2"/>
      <c r="F10" s="2"/>
      <c r="G10" s="2"/>
    </row>
    <row r="11" spans="1:7" ht="23.4" thickBot="1">
      <c r="A11" s="93" t="s">
        <v>0</v>
      </c>
      <c r="B11" s="2"/>
      <c r="C11" s="2"/>
      <c r="D11" s="2"/>
      <c r="E11" s="2"/>
      <c r="F11" s="2"/>
    </row>
    <row r="12" spans="1:7" ht="23.4" thickTop="1">
      <c r="A12" s="252" t="s">
        <v>1</v>
      </c>
      <c r="B12" s="253"/>
      <c r="C12" s="2"/>
      <c r="D12" s="2"/>
      <c r="E12" s="2"/>
      <c r="F12" s="2"/>
    </row>
    <row r="13" spans="1:7" ht="22.8">
      <c r="A13" s="149" t="s">
        <v>5</v>
      </c>
      <c r="B13" s="68"/>
      <c r="C13" s="2"/>
      <c r="D13" s="2"/>
      <c r="E13" s="2"/>
      <c r="F13" s="2"/>
    </row>
    <row r="14" spans="1:7" ht="22.8">
      <c r="A14" s="150" t="s">
        <v>9</v>
      </c>
      <c r="B14" s="69"/>
      <c r="C14" s="2"/>
      <c r="D14" s="2"/>
      <c r="E14" s="2"/>
      <c r="F14" s="2"/>
    </row>
    <row r="15" spans="1:7" ht="22.8">
      <c r="A15" s="151" t="s">
        <v>52</v>
      </c>
      <c r="B15" s="68"/>
      <c r="C15" s="2"/>
      <c r="D15" s="2"/>
      <c r="E15" s="2"/>
      <c r="F15" s="2"/>
    </row>
    <row r="16" spans="1:7" ht="23.4" thickBot="1">
      <c r="A16" s="152" t="s">
        <v>248</v>
      </c>
      <c r="B16" s="153" t="e">
        <f>B15/POWER(B14,2)</f>
        <v>#DIV/0!</v>
      </c>
      <c r="C16" s="2"/>
      <c r="D16" s="2"/>
      <c r="E16" s="2"/>
      <c r="F16" s="2"/>
    </row>
    <row r="17" spans="1:9" ht="24" thickTop="1" thickBot="1">
      <c r="A17" s="154"/>
      <c r="B17" s="154"/>
      <c r="C17" s="2"/>
      <c r="D17" s="2"/>
      <c r="E17" s="2"/>
      <c r="F17" s="2"/>
    </row>
    <row r="18" spans="1:9" ht="24" thickTop="1" thickBot="1">
      <c r="A18" s="21" t="s">
        <v>249</v>
      </c>
      <c r="B18" s="155"/>
      <c r="C18" s="2"/>
      <c r="D18" s="2"/>
      <c r="E18" s="2"/>
      <c r="F18" s="2"/>
    </row>
    <row r="19" spans="1:9" ht="15" thickTop="1">
      <c r="B19" s="133"/>
      <c r="C19" s="133"/>
      <c r="D19" s="133"/>
      <c r="E19" s="133"/>
      <c r="F19" s="133"/>
    </row>
    <row r="20" spans="1:9">
      <c r="A20" s="133"/>
      <c r="B20" s="133"/>
      <c r="C20" s="133"/>
      <c r="D20" s="133"/>
      <c r="E20" s="133"/>
      <c r="F20" s="133"/>
    </row>
    <row r="21" spans="1:9">
      <c r="A21" s="70" t="s">
        <v>250</v>
      </c>
      <c r="B21" s="70" t="s">
        <v>251</v>
      </c>
      <c r="C21" s="22" t="s">
        <v>30</v>
      </c>
      <c r="D21" s="133"/>
      <c r="E21" s="133"/>
      <c r="F21" s="133"/>
    </row>
    <row r="22" spans="1:9">
      <c r="A22" s="156" t="s">
        <v>252</v>
      </c>
      <c r="B22" s="156">
        <v>20</v>
      </c>
      <c r="C22" s="157">
        <f>B22/100*G39</f>
        <v>0</v>
      </c>
      <c r="D22" s="133"/>
      <c r="E22" s="133"/>
      <c r="F22" s="133"/>
    </row>
    <row r="23" spans="1:9">
      <c r="A23" s="94" t="s">
        <v>253</v>
      </c>
      <c r="B23" s="94">
        <v>5</v>
      </c>
      <c r="C23" s="158">
        <f>B23/100*G39</f>
        <v>0</v>
      </c>
      <c r="D23" s="133"/>
      <c r="E23" s="133"/>
      <c r="F23" s="133"/>
    </row>
    <row r="24" spans="1:9">
      <c r="A24" s="156" t="s">
        <v>254</v>
      </c>
      <c r="B24" s="156">
        <v>30</v>
      </c>
      <c r="C24" s="157">
        <f>B24/100*G39</f>
        <v>0</v>
      </c>
      <c r="D24" s="133"/>
      <c r="E24" s="133"/>
      <c r="F24" s="133"/>
    </row>
    <row r="25" spans="1:9">
      <c r="A25" s="94" t="s">
        <v>255</v>
      </c>
      <c r="B25" s="94">
        <v>15</v>
      </c>
      <c r="C25" s="158">
        <f>B25/100*G39</f>
        <v>0</v>
      </c>
      <c r="D25" s="133"/>
      <c r="E25" s="133"/>
      <c r="F25" s="133"/>
    </row>
    <row r="26" spans="1:9">
      <c r="A26" s="156" t="s">
        <v>256</v>
      </c>
      <c r="B26" s="156">
        <v>25</v>
      </c>
      <c r="C26" s="157">
        <f>B26/100*G39</f>
        <v>0</v>
      </c>
      <c r="D26" s="133"/>
      <c r="E26" s="133"/>
      <c r="F26" s="133"/>
    </row>
    <row r="27" spans="1:9">
      <c r="A27" s="94" t="s">
        <v>257</v>
      </c>
      <c r="B27" s="94">
        <v>5</v>
      </c>
      <c r="C27" s="158">
        <f>B27/100*G39</f>
        <v>0</v>
      </c>
      <c r="D27" s="133"/>
      <c r="E27" s="133"/>
      <c r="F27" s="133"/>
    </row>
    <row r="28" spans="1:9">
      <c r="A28" s="156"/>
      <c r="B28" s="71" t="s">
        <v>258</v>
      </c>
      <c r="C28" s="65">
        <f>SUM(C22:C27)</f>
        <v>0</v>
      </c>
      <c r="D28" s="133"/>
      <c r="E28" s="133"/>
      <c r="F28" s="133"/>
    </row>
    <row r="29" spans="1:9">
      <c r="A29" s="94" t="s">
        <v>290</v>
      </c>
    </row>
    <row r="30" spans="1:9" ht="19.8">
      <c r="A30" s="254" t="s">
        <v>259</v>
      </c>
      <c r="B30" s="254"/>
      <c r="C30" s="254"/>
      <c r="D30" s="44" t="s">
        <v>260</v>
      </c>
      <c r="E30" s="50" t="s">
        <v>261</v>
      </c>
      <c r="F30" s="50" t="s">
        <v>263</v>
      </c>
      <c r="G30" s="50" t="s">
        <v>30</v>
      </c>
      <c r="I30" s="20"/>
    </row>
    <row r="31" spans="1:9">
      <c r="A31" s="255" t="s">
        <v>264</v>
      </c>
      <c r="B31" s="255"/>
      <c r="C31" s="255"/>
      <c r="D31" s="45" t="s">
        <v>291</v>
      </c>
      <c r="E31" s="95">
        <v>150</v>
      </c>
      <c r="F31" s="72"/>
      <c r="G31" s="46">
        <f>(E31*F31)</f>
        <v>0</v>
      </c>
    </row>
    <row r="32" spans="1:9">
      <c r="A32" s="257" t="s">
        <v>267</v>
      </c>
      <c r="B32" s="257"/>
      <c r="C32" s="257"/>
      <c r="D32" s="47" t="s">
        <v>268</v>
      </c>
      <c r="E32" s="95">
        <v>15</v>
      </c>
      <c r="F32" s="72"/>
      <c r="G32" s="46">
        <f t="shared" ref="G32:G38" si="0">(E32*F32)</f>
        <v>0</v>
      </c>
    </row>
    <row r="33" spans="1:7">
      <c r="A33" s="258" t="s">
        <v>270</v>
      </c>
      <c r="B33" s="258"/>
      <c r="C33" s="258"/>
      <c r="D33" s="53" t="s">
        <v>271</v>
      </c>
      <c r="E33" s="95">
        <v>30</v>
      </c>
      <c r="F33" s="72"/>
      <c r="G33" s="46">
        <f t="shared" si="0"/>
        <v>0</v>
      </c>
    </row>
    <row r="34" spans="1:7">
      <c r="A34" s="259" t="s">
        <v>273</v>
      </c>
      <c r="B34" s="259"/>
      <c r="C34" s="259"/>
      <c r="D34" s="55" t="s">
        <v>274</v>
      </c>
      <c r="E34" s="95">
        <v>55</v>
      </c>
      <c r="F34" s="72"/>
      <c r="G34" s="46">
        <f t="shared" si="0"/>
        <v>0</v>
      </c>
    </row>
    <row r="35" spans="1:7">
      <c r="A35" s="259" t="s">
        <v>275</v>
      </c>
      <c r="B35" s="259"/>
      <c r="C35" s="259"/>
      <c r="D35" s="55" t="s">
        <v>276</v>
      </c>
      <c r="E35" s="95">
        <v>190</v>
      </c>
      <c r="F35" s="72"/>
      <c r="G35" s="46">
        <f t="shared" si="0"/>
        <v>0</v>
      </c>
    </row>
    <row r="36" spans="1:7">
      <c r="A36" s="261" t="s">
        <v>278</v>
      </c>
      <c r="B36" s="261"/>
      <c r="C36" s="261"/>
      <c r="D36" s="54" t="s">
        <v>292</v>
      </c>
      <c r="E36" s="95">
        <v>120</v>
      </c>
      <c r="F36" s="72"/>
      <c r="G36" s="46">
        <f t="shared" si="0"/>
        <v>0</v>
      </c>
    </row>
    <row r="37" spans="1:7">
      <c r="A37" s="262" t="s">
        <v>281</v>
      </c>
      <c r="B37" s="262"/>
      <c r="C37" s="262"/>
      <c r="D37" s="48" t="s">
        <v>274</v>
      </c>
      <c r="E37" s="95">
        <v>73</v>
      </c>
      <c r="F37" s="72"/>
      <c r="G37" s="46">
        <f t="shared" si="0"/>
        <v>0</v>
      </c>
    </row>
    <row r="38" spans="1:7">
      <c r="A38" s="260" t="s">
        <v>282</v>
      </c>
      <c r="B38" s="260"/>
      <c r="C38" s="260"/>
      <c r="D38" s="49" t="s">
        <v>274</v>
      </c>
      <c r="E38" s="95">
        <v>110</v>
      </c>
      <c r="F38" s="72"/>
      <c r="G38" s="46">
        <f t="shared" si="0"/>
        <v>0</v>
      </c>
    </row>
    <row r="39" spans="1:7">
      <c r="F39" s="35" t="s">
        <v>284</v>
      </c>
      <c r="G39" s="56">
        <f>SUM(G31:G38)</f>
        <v>0</v>
      </c>
    </row>
    <row r="41" spans="1:7">
      <c r="A41" t="s">
        <v>293</v>
      </c>
    </row>
  </sheetData>
  <sheetProtection password="C6EA" sheet="1" selectLockedCells="1"/>
  <mergeCells count="11">
    <mergeCell ref="A33:C33"/>
    <mergeCell ref="A34:C34"/>
    <mergeCell ref="A38:C38"/>
    <mergeCell ref="A35:C35"/>
    <mergeCell ref="A36:C36"/>
    <mergeCell ref="A37:C37"/>
    <mergeCell ref="A7:G7"/>
    <mergeCell ref="A12:B12"/>
    <mergeCell ref="A30:C30"/>
    <mergeCell ref="A31:C31"/>
    <mergeCell ref="A32:C32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tabColor theme="1"/>
  </sheetPr>
  <dimension ref="A1"/>
  <sheetViews>
    <sheetView zoomScale="80" zoomScaleNormal="80" workbookViewId="0"/>
  </sheetViews>
  <sheetFormatPr defaultColWidth="8.77734375" defaultRowHeight="14.4"/>
  <sheetData>
    <row r="1" spans="1:1">
      <c r="A1" t="s">
        <v>294</v>
      </c>
    </row>
  </sheetData>
  <phoneticPr fontId="0" type="noConversion"/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theme="1"/>
  </sheetPr>
  <dimension ref="A1:G9"/>
  <sheetViews>
    <sheetView zoomScale="80" zoomScaleNormal="80" workbookViewId="0"/>
  </sheetViews>
  <sheetFormatPr defaultColWidth="8.77734375" defaultRowHeight="14.4"/>
  <sheetData>
    <row r="1" spans="1:7">
      <c r="A1" t="s">
        <v>294</v>
      </c>
    </row>
    <row r="3" spans="1:7" ht="16.2" thickBot="1">
      <c r="A3" s="263"/>
      <c r="B3" s="263"/>
      <c r="C3" s="263"/>
      <c r="D3" s="263"/>
      <c r="E3" s="263"/>
      <c r="F3" s="263"/>
      <c r="G3" s="263"/>
    </row>
    <row r="4" spans="1:7">
      <c r="A4" s="264"/>
      <c r="B4" s="264"/>
      <c r="C4" s="264"/>
      <c r="E4" s="264"/>
      <c r="F4" s="264"/>
      <c r="G4" s="264"/>
    </row>
    <row r="5" spans="1:7">
      <c r="A5" s="250"/>
      <c r="B5" s="250"/>
      <c r="C5" s="250"/>
      <c r="E5" s="265"/>
      <c r="F5" s="265"/>
      <c r="G5" s="265"/>
    </row>
    <row r="6" spans="1:7">
      <c r="A6" s="250"/>
      <c r="B6" s="250"/>
      <c r="C6" s="250"/>
      <c r="E6" s="200"/>
      <c r="F6" s="200"/>
      <c r="G6" s="200"/>
    </row>
    <row r="7" spans="1:7">
      <c r="E7" s="200"/>
      <c r="F7" s="200"/>
      <c r="G7" s="200"/>
    </row>
    <row r="8" spans="1:7">
      <c r="A8" s="250"/>
      <c r="B8" s="250"/>
      <c r="C8" s="250"/>
      <c r="E8" s="200"/>
      <c r="F8" s="200"/>
      <c r="G8" s="200"/>
    </row>
    <row r="9" spans="1:7">
      <c r="A9" s="23"/>
    </row>
  </sheetData>
  <mergeCells count="10">
    <mergeCell ref="E7:G7"/>
    <mergeCell ref="A8:C8"/>
    <mergeCell ref="E8:G8"/>
    <mergeCell ref="A3:G3"/>
    <mergeCell ref="A4:C4"/>
    <mergeCell ref="A5:C5"/>
    <mergeCell ref="A6:C6"/>
    <mergeCell ref="E4:G4"/>
    <mergeCell ref="E5:G5"/>
    <mergeCell ref="E6:G6"/>
  </mergeCells>
  <phoneticPr fontId="0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1">
    <tabColor theme="1"/>
  </sheetPr>
  <dimension ref="A1"/>
  <sheetViews>
    <sheetView zoomScale="80" zoomScaleNormal="80" workbookViewId="0"/>
  </sheetViews>
  <sheetFormatPr defaultColWidth="8.77734375" defaultRowHeight="14.4"/>
  <sheetData>
    <row r="1" spans="1:1">
      <c r="A1" t="s">
        <v>294</v>
      </c>
    </row>
  </sheetData>
  <phoneticPr fontId="0" type="noConversion"/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1"/>
  </sheetPr>
  <dimension ref="A1"/>
  <sheetViews>
    <sheetView zoomScale="80" zoomScaleNormal="80" workbookViewId="0"/>
  </sheetViews>
  <sheetFormatPr defaultColWidth="8.77734375" defaultRowHeight="14.4"/>
  <sheetData>
    <row r="1" spans="1:1">
      <c r="A1" t="s">
        <v>294</v>
      </c>
    </row>
  </sheetData>
  <phoneticPr fontId="0" type="noConversion"/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>
    <tabColor theme="1"/>
  </sheetPr>
  <dimension ref="A1"/>
  <sheetViews>
    <sheetView zoomScale="95" zoomScaleNormal="95" workbookViewId="0"/>
  </sheetViews>
  <sheetFormatPr defaultColWidth="8.77734375" defaultRowHeight="14.4"/>
  <sheetData>
    <row r="1" spans="1:1">
      <c r="A1" t="s">
        <v>294</v>
      </c>
    </row>
  </sheetData>
  <phoneticPr fontId="0" type="noConversion"/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>
    <tabColor theme="1"/>
  </sheetPr>
  <dimension ref="A1"/>
  <sheetViews>
    <sheetView zoomScale="80" zoomScaleNormal="80" workbookViewId="0"/>
  </sheetViews>
  <sheetFormatPr defaultColWidth="8.77734375" defaultRowHeight="14.4"/>
  <sheetData>
    <row r="1" spans="1:1">
      <c r="A1" t="s">
        <v>294</v>
      </c>
    </row>
  </sheetData>
  <phoneticPr fontId="0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GEST</vt:lpstr>
      <vt:lpstr>Nutriz</vt:lpstr>
      <vt:lpstr>CRIAN-ADOL</vt:lpstr>
      <vt:lpstr>2024 NUTRIZ</vt:lpstr>
      <vt:lpstr>2023 GESTANTE</vt:lpstr>
      <vt:lpstr>2023 CRIANCA-ADULTO-IDOSO</vt:lpstr>
      <vt:lpstr>ADUL-IDO PN</vt:lpstr>
      <vt:lpstr>Pirâmide Adolescentes ativos</vt:lpstr>
      <vt:lpstr>Pirâmide Alimentar Brasileira</vt:lpstr>
      <vt:lpstr>Pirâmide Atletas</vt:lpstr>
      <vt:lpstr>Cerais, pães (porção)</vt:lpstr>
      <vt:lpstr>Hortaliças (porção)</vt:lpstr>
      <vt:lpstr>Frutas (porção)</vt:lpstr>
      <vt:lpstr>Carnes e Leguminosas (porção)</vt:lpstr>
      <vt:lpstr>Produtos Lácteos (porção)</vt:lpstr>
      <vt:lpstr>Óleos, gorduras e açúcares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Quadros</dc:creator>
  <cp:keywords/>
  <dc:description/>
  <cp:lastModifiedBy>teresa helena macedo da costa</cp:lastModifiedBy>
  <cp:revision/>
  <dcterms:created xsi:type="dcterms:W3CDTF">2009-05-23T02:47:05Z</dcterms:created>
  <dcterms:modified xsi:type="dcterms:W3CDTF">2024-09-03T16:03:42Z</dcterms:modified>
  <cp:category/>
  <cp:contentStatus/>
</cp:coreProperties>
</file>